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tGZo+58F7VM3VWyOA8cugbuyVNu9gN8aHRXiWCC9cJbRcp3uvgwn0zwVUJMwhaGckN1AnzSAOMhkU4d543jqA==" workbookSaltValue="kh2EYAvBVIDSd/6jlsArG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R8" i="9"/>
  <c r="AP17" i="20" s="1"/>
  <c r="BG17" i="13"/>
  <c r="X12" i="21"/>
  <c r="BH9" i="16"/>
  <c r="V16" i="11"/>
  <c r="BF13" i="11"/>
  <c r="BG25" i="11"/>
  <c r="BH16"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T9" i="11"/>
  <c r="BG10" i="11"/>
  <c r="BJ18" i="11"/>
  <c r="BJ22" i="11"/>
  <c r="BL19" i="11"/>
  <c r="BM17" i="11"/>
  <c r="BF21" i="11"/>
  <c r="BF17" i="11"/>
  <c r="BL12" i="11"/>
  <c r="BK21" i="11"/>
  <c r="V11" i="11"/>
  <c r="BM12" i="11"/>
  <c r="BI19" i="11"/>
  <c r="AP16" i="20"/>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11" i="16"/>
  <c r="V25" i="11"/>
  <c r="BF10" i="11"/>
  <c r="BI25" i="11"/>
  <c r="V13" i="11"/>
  <c r="V9" i="11"/>
  <c r="BJ16" i="11"/>
  <c r="BJ23" i="11" s="1"/>
  <c r="AP22" i="20"/>
  <c r="BG19" i="11"/>
  <c r="U10" i="17"/>
  <c r="BK20" i="11"/>
  <c r="BJ10" i="11"/>
  <c r="Q16" i="17"/>
  <c r="BF16" i="11"/>
  <c r="BI22" i="11"/>
  <c r="L10" i="2"/>
  <c r="X16" i="16"/>
  <c r="X23" i="16" s="1"/>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V20" i="11"/>
  <c r="BL29" i="11"/>
  <c r="BW20" i="20"/>
  <c r="BV18" i="16"/>
  <c r="BV12" i="16"/>
  <c r="BV16" i="16"/>
  <c r="BU18" i="17"/>
  <c r="BU12" i="17"/>
  <c r="S25" i="17"/>
  <c r="AZ11" i="11"/>
  <c r="P16" i="17"/>
  <c r="P23" i="17" s="1"/>
  <c r="P31" i="17" s="1"/>
  <c r="BF12" i="11"/>
  <c r="BH25" i="16"/>
  <c r="BL22" i="11"/>
  <c r="BK10" i="11"/>
  <c r="X21" i="20"/>
  <c r="L16" i="2"/>
  <c r="L18" i="2"/>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E31" i="2" l="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<sst xmlns="http://schemas.openxmlformats.org/spreadsheetml/2006/main" count="2672" uniqueCount="1184">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</sst>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545</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gpRXz0Jvb+3HFqJR+UVyWAVEFbFMqudLVi02XCO3sxJ+rERX8MTSOnGVbZBC3/yLUGS+FksYNi8vTpn+S8Pvw==" saltValue="LP/kwyJmxz4+VDQjzTjY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ANDALUCIA</v>
      </c>
      <c r="C4" s="1450"/>
      <c r="D4" s="1450"/>
      <c r="E4" s="1451"/>
      <c r="F4" s="1450"/>
      <c r="G4" s="664"/>
      <c r="H4" s="1732" t="s">
        <v>474</v>
      </c>
      <c r="I4" s="1733"/>
      <c r="J4" s="1733"/>
      <c r="K4" s="1733"/>
      <c r="L4" s="1733"/>
      <c r="M4" s="1452"/>
      <c r="N4" s="1732" t="s">
        <v>475</v>
      </c>
      <c r="O4" s="1733"/>
      <c r="P4" s="1733"/>
      <c r="Q4" s="1733"/>
      <c r="R4" s="1733"/>
      <c r="S4" s="1733"/>
      <c r="T4" s="1733"/>
      <c r="U4" s="1733"/>
      <c r="V4" s="1733"/>
      <c r="W4" s="1733"/>
      <c r="X4" s="1733"/>
      <c r="Y4" s="1733"/>
      <c r="Z4" s="1733"/>
      <c r="AA4" s="1733"/>
      <c r="AB4" s="1733"/>
      <c r="AC4" s="1733"/>
      <c r="AD4" s="1734"/>
    </row>
    <row r="5" spans="1:31" s="533" customFormat="1" ht="15.75" customHeight="1">
      <c r="A5" s="1716" t="s">
        <v>464</v>
      </c>
      <c r="B5" s="1718" t="str">
        <f>"Año:  " &amp;Criterios!B5 &amp; "      Trimestre   " &amp;Criterios!D5 &amp; " al " &amp;Criterios!D6</f>
        <v>Año:  2022      Trimestre   1 al 1</v>
      </c>
      <c r="C5" s="1706" t="s">
        <v>337</v>
      </c>
      <c r="D5" s="1708" t="s">
        <v>173</v>
      </c>
      <c r="E5" s="1708" t="s">
        <v>126</v>
      </c>
      <c r="F5" s="1712" t="s">
        <v>14</v>
      </c>
      <c r="G5" s="1711"/>
      <c r="H5" s="1735" t="s">
        <v>469</v>
      </c>
      <c r="I5" s="1714" t="s">
        <v>471</v>
      </c>
      <c r="J5" s="1735" t="s">
        <v>470</v>
      </c>
      <c r="K5" s="1710" t="s">
        <v>387</v>
      </c>
      <c r="L5" s="1710" t="s">
        <v>472</v>
      </c>
      <c r="M5" s="1710" t="s">
        <v>466</v>
      </c>
      <c r="N5" s="1722"/>
      <c r="O5" s="1723"/>
      <c r="P5" s="578"/>
      <c r="Q5" s="1726" t="s">
        <v>597</v>
      </c>
      <c r="R5" s="1727"/>
      <c r="S5" s="1728"/>
      <c r="T5" s="1738"/>
      <c r="U5" s="1739"/>
      <c r="V5" s="1740"/>
      <c r="W5" s="1726" t="s">
        <v>348</v>
      </c>
      <c r="X5" s="1727"/>
      <c r="Y5" s="1727"/>
      <c r="Z5" s="1728"/>
      <c r="AA5" s="1726" t="s">
        <v>592</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507</v>
      </c>
      <c r="P7" s="1456" t="s">
        <v>508</v>
      </c>
      <c r="Q7" s="1457" t="s">
        <v>509</v>
      </c>
      <c r="R7" s="1456" t="s">
        <v>500</v>
      </c>
      <c r="S7" s="1457" t="s">
        <v>1095</v>
      </c>
      <c r="T7" s="1523" t="s">
        <v>1096</v>
      </c>
      <c r="U7" s="1523" t="s">
        <v>1097</v>
      </c>
      <c r="V7" s="1523" t="s">
        <v>1098</v>
      </c>
      <c r="W7" s="1455" t="s">
        <v>593</v>
      </c>
      <c r="X7" s="1549" t="s">
        <v>1120</v>
      </c>
      <c r="Y7" s="1549" t="s">
        <v>1121</v>
      </c>
      <c r="Z7" s="1550" t="s">
        <v>1122</v>
      </c>
      <c r="AA7" s="1458" t="s">
        <v>593</v>
      </c>
      <c r="AB7" s="1547" t="s">
        <v>594</v>
      </c>
      <c r="AC7" s="1547" t="s">
        <v>1123</v>
      </c>
      <c r="AD7" s="1548" t="s">
        <v>1124</v>
      </c>
      <c r="AE7" s="1459" t="s">
        <v>1093</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28</v>
      </c>
      <c r="F10" s="240">
        <f>IF(ISNUMBER(Datos!K10),Datos!K10," - ")</f>
        <v>17</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0.44</v>
      </c>
      <c r="L10" s="1402">
        <f>IF(ISNUMBER(NºAsuntos!I10/NºAsuntos!G10),(NºAsuntos!I10/NºAsuntos!G10)*11," - ")</f>
        <v>23.294117647058822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21.007021063189569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28</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616</v>
      </c>
      <c r="D17" s="239">
        <f>IF(ISNUMBER(IF(D_I="SI",Datos!I17,Datos!I17+Datos!AC17)),IF(D_I="SI",Datos!I17,Datos!I17+Datos!AC17)," - ")</f>
        <v>615</v>
      </c>
      <c r="E17" s="240">
        <f>IF(ISNUMBER(IF(D_I="SI",Datos!J17,Datos!J17+Datos!AD17)),IF(D_I="SI",Datos!J17,Datos!J17+Datos!AD17)," - ")</f>
        <v>1378</v>
      </c>
      <c r="F17" s="240">
        <f>IF(ISNUMBER(IF(D_I="SI",Datos!K17,Datos!K17+Datos!AE17)),IF(D_I="SI",Datos!K17,Datos!K17+Datos!AE17)," - ")</f>
        <v>1450</v>
      </c>
      <c r="G17" s="1390" t="str">
        <f>IF(Datos!E17&lt;&gt;"",Datos!E17,Datos!D17)</f>
        <v>04</v>
      </c>
      <c r="H17" s="241">
        <f>IF(ISNUMBER(IF(D_I="SI",Datos!L17,Datos!L17+Datos!AF17)),IF(D_I="SI",Datos!L17,Datos!L17+Datos!AF17)," - ")</f>
        <v>544</v>
      </c>
      <c r="I17" s="1400" t="str">
        <f>IF(ISNUMBER(Datos!AS17/Datos!BM17),Datos!AS17/Datos!BM17," - ")</f>
        <v xml:space="preserve"> - </v>
      </c>
      <c r="J17" s="1401">
        <f>IF(ISNUMBER(Datos!BY17/Datos!CN17),Datos!BY17/Datos!CN17," - ")</f>
        <v>0</v>
      </c>
      <c r="K17" s="244">
        <f t="shared" si="3"/>
        <v>-0.11688311688311688</v>
      </c>
      <c r="L17" s="1402">
        <f>IF(ISNUMBER(NºAsuntos!I17/NºAsuntos!G17),(NºAsuntos!I17/NºAsuntos!G17)*11," - ")</f>
        <v>4.1268965517241378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v>
      </c>
      <c r="D18" s="239">
        <f>IF(ISNUMBER(IF(D_I="SI",Datos!I18,Datos!I18+Datos!AC18)),IF(D_I="SI",Datos!I18,Datos!I18+Datos!AC18)," - ")</f>
        <v>42</v>
      </c>
      <c r="E18" s="240">
        <f>IF(ISNUMBER(IF(D_I="SI",Datos!J18,Datos!J18+Datos!AD18)),IF(D_I="SI",Datos!J18,Datos!J18+Datos!AD18)," - ")</f>
        <v>87</v>
      </c>
      <c r="F18" s="240">
        <f>IF(ISNUMBER(IF(D_I="SI",Datos!K18,Datos!K18+Datos!AE18)),IF(D_I="SI",Datos!K18,Datos!K18+Datos!AE18)," - ")</f>
        <v>70</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0.40476190476190477</v>
      </c>
      <c r="L18" s="1402">
        <f>IF(ISNUMBER(NºAsuntos!I18/NºAsuntos!G18),(NºAsuntos!I18/NºAsuntos!G18)*11," - ")</f>
        <v>9.2714285714285722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0</v>
      </c>
      <c r="D21" s="239">
        <f>IF(ISNUMBER(Datos!I21),Datos!I21," - ")</f>
        <v>0</v>
      </c>
      <c r="E21" s="240">
        <f>IF(ISNUMBER(Datos!J21),Datos!J21," - ")</f>
        <v>0</v>
      </c>
      <c r="F21" s="240">
        <f>IF(ISNUMBER(Datos!K21),Datos!K21," - ")</f>
        <v>0</v>
      </c>
      <c r="G21" s="1390" t="str">
        <f>IF(Datos!E21&lt;&gt;"",Datos!E21,Datos!D21)</f>
        <v>09</v>
      </c>
      <c r="H21" s="241">
        <f>IF(ISNUMBER(Datos!L21),Datos!L21," - ")</f>
        <v>0</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658</v>
      </c>
      <c r="D23" s="1407">
        <f>SUBTOTAL(9,D16:D22)</f>
        <v>657</v>
      </c>
      <c r="E23" s="1408">
        <f>SUBTOTAL(9,E16:E22)</f>
        <v>1465</v>
      </c>
      <c r="F23" s="1408">
        <f>SUBTOTAL(9,F16:F22)</f>
        <v>1520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683</v>
      </c>
      <c r="D31" s="1435">
        <f>SUBTOTAL(9,D9:D30)</f>
        <v>682</v>
      </c>
      <c r="E31" s="1436">
        <f>SUBTOTAL(9,E9:E30)</f>
        <v>1493</v>
      </c>
      <c r="F31" s="1436">
        <f>SUBTOTAL(9,F9:F30)</f>
        <v>1537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833</v>
      </c>
      <c r="O37" s="1744"/>
      <c r="P37" s="1744"/>
      <c r="Q37" s="1744"/>
      <c r="R37" s="1744"/>
      <c r="S37" s="1744"/>
      <c r="T37" s="1744"/>
      <c r="U37" s="1744"/>
      <c r="V37" s="1744"/>
      <c r="W37" s="1744"/>
      <c r="Y37" s="1744" t="s">
        <v>834</v>
      </c>
      <c r="Z37" s="1744"/>
      <c r="AA37" s="1744"/>
      <c r="AB37" s="1744"/>
      <c r="AC37" s="1744"/>
    </row>
    <row r="39" spans="2:29">
      <c r="N39" s="1386" t="s">
        <v>835</v>
      </c>
      <c r="O39" s="1745" t="s">
        <v>836</v>
      </c>
      <c r="P39" s="1745"/>
      <c r="Q39" s="1745"/>
      <c r="R39" s="1745"/>
      <c r="S39" s="1745"/>
      <c r="T39" s="1745"/>
      <c r="U39" s="1745"/>
      <c r="V39" s="1745"/>
      <c r="W39" s="1745"/>
      <c r="Y39" s="1386" t="s">
        <v>835</v>
      </c>
      <c r="Z39" s="1746" t="s">
        <v>837</v>
      </c>
      <c r="AA39" s="1746"/>
      <c r="AB39" s="1746"/>
      <c r="AC39" s="1746"/>
    </row>
    <row r="40" spans="2:29">
      <c r="N40" s="1386" t="s">
        <v>838</v>
      </c>
      <c r="O40" s="1745" t="s">
        <v>839</v>
      </c>
      <c r="P40" s="1745"/>
      <c r="Q40" s="1745"/>
      <c r="R40" s="1745"/>
      <c r="S40" s="1745"/>
      <c r="T40" s="1745"/>
      <c r="U40" s="1745"/>
      <c r="V40" s="1745"/>
      <c r="W40" s="1745"/>
      <c r="Y40" s="1386" t="s">
        <v>838</v>
      </c>
      <c r="Z40" s="1746" t="s">
        <v>840</v>
      </c>
      <c r="AA40" s="1746"/>
      <c r="AB40" s="1746"/>
      <c r="AC40" s="1746"/>
    </row>
    <row r="41" spans="2:29">
      <c r="N41" s="1386" t="s">
        <v>841</v>
      </c>
      <c r="O41" s="1745" t="s">
        <v>842</v>
      </c>
      <c r="P41" s="1745"/>
      <c r="Q41" s="1745"/>
      <c r="R41" s="1745"/>
      <c r="S41" s="1745"/>
      <c r="T41" s="1745"/>
      <c r="U41" s="1745"/>
      <c r="V41" s="1745"/>
      <c r="W41" s="1745"/>
      <c r="Y41" s="1386" t="s">
        <v>843</v>
      </c>
      <c r="Z41" s="1746" t="s">
        <v>844</v>
      </c>
      <c r="AA41" s="1746"/>
      <c r="AB41" s="1746"/>
      <c r="AC41" s="1746"/>
    </row>
    <row r="42" spans="2:29">
      <c r="N42" s="1386" t="s">
        <v>845</v>
      </c>
      <c r="O42" s="1745" t="s">
        <v>846</v>
      </c>
      <c r="P42" s="1745"/>
      <c r="Q42" s="1745"/>
      <c r="R42" s="1745"/>
      <c r="S42" s="1745"/>
      <c r="T42" s="1745"/>
      <c r="U42" s="1745"/>
      <c r="V42" s="1745"/>
      <c r="W42" s="1745"/>
      <c r="Y42" s="1386" t="s">
        <v>847</v>
      </c>
      <c r="Z42" s="1746" t="s">
        <v>848</v>
      </c>
      <c r="AA42" s="1746"/>
      <c r="AB42" s="1746"/>
      <c r="AC42" s="1746"/>
    </row>
    <row r="43" spans="2:29">
      <c r="N43" s="1386" t="s">
        <v>935</v>
      </c>
      <c r="O43" s="1745" t="s">
        <v>936</v>
      </c>
      <c r="P43" s="1745"/>
      <c r="Q43" s="1745"/>
      <c r="R43" s="1745"/>
      <c r="S43" s="1745"/>
      <c r="T43" s="1745"/>
      <c r="U43" s="1745"/>
      <c r="V43" s="1745"/>
      <c r="W43" s="1745"/>
      <c r="Y43" s="1386" t="s">
        <v>841</v>
      </c>
      <c r="Z43" s="1746" t="s">
        <v>842</v>
      </c>
      <c r="AA43" s="1746"/>
      <c r="AB43" s="1746"/>
      <c r="AC43" s="1746"/>
    </row>
    <row r="44" spans="2:29">
      <c r="N44" s="1386" t="s">
        <v>849</v>
      </c>
      <c r="O44" s="1745" t="s">
        <v>850</v>
      </c>
      <c r="P44" s="1745"/>
      <c r="Q44" s="1745"/>
      <c r="R44" s="1745"/>
      <c r="S44" s="1745"/>
      <c r="T44" s="1745"/>
      <c r="U44" s="1745"/>
      <c r="V44" s="1745"/>
      <c r="W44" s="1745"/>
      <c r="Y44" s="1386" t="s">
        <v>845</v>
      </c>
      <c r="Z44" s="1746" t="s">
        <v>846</v>
      </c>
      <c r="AA44" s="1746"/>
      <c r="AB44" s="1746"/>
      <c r="AC44" s="1746"/>
    </row>
    <row r="45" spans="2:29">
      <c r="N45" s="1386" t="s">
        <v>851</v>
      </c>
      <c r="O45" s="1745" t="s">
        <v>852</v>
      </c>
      <c r="P45" s="1745"/>
      <c r="Q45" s="1745"/>
      <c r="R45" s="1745"/>
      <c r="S45" s="1745"/>
      <c r="T45" s="1745"/>
      <c r="U45" s="1745"/>
      <c r="V45" s="1745"/>
      <c r="W45" s="1745"/>
      <c r="Y45" s="1386" t="s">
        <v>854</v>
      </c>
      <c r="Z45" s="1746" t="s">
        <v>855</v>
      </c>
      <c r="AA45" s="1746"/>
      <c r="AB45" s="1746"/>
      <c r="AC45" s="1746"/>
    </row>
    <row r="46" spans="2:29">
      <c r="N46" s="1386" t="s">
        <v>843</v>
      </c>
      <c r="O46" s="1745" t="s">
        <v>853</v>
      </c>
      <c r="P46" s="1745"/>
      <c r="Q46" s="1745"/>
      <c r="R46" s="1745"/>
      <c r="S46" s="1745"/>
      <c r="T46" s="1745"/>
      <c r="U46" s="1745"/>
      <c r="V46" s="1745"/>
      <c r="W46" s="1745"/>
      <c r="Y46" s="1386" t="s">
        <v>857</v>
      </c>
      <c r="Z46" s="1746" t="s">
        <v>858</v>
      </c>
      <c r="AA46" s="1746"/>
      <c r="AB46" s="1746"/>
      <c r="AC46" s="1746"/>
    </row>
    <row r="47" spans="2:29">
      <c r="N47" s="1386" t="s">
        <v>847</v>
      </c>
      <c r="O47" s="1745" t="s">
        <v>856</v>
      </c>
      <c r="P47" s="1745"/>
      <c r="Q47" s="1745"/>
      <c r="R47" s="1745"/>
      <c r="S47" s="1745"/>
      <c r="T47" s="1745"/>
      <c r="U47" s="1745"/>
      <c r="V47" s="1745"/>
      <c r="W47" s="1745"/>
      <c r="Y47" s="1387" t="s">
        <v>860</v>
      </c>
      <c r="Z47" s="1747" t="s">
        <v>861</v>
      </c>
      <c r="AA47" s="1747"/>
      <c r="AB47" s="1747"/>
      <c r="AC47" s="1747"/>
    </row>
    <row r="48" spans="2:29">
      <c r="N48" s="1386" t="s">
        <v>854</v>
      </c>
      <c r="O48" s="1745" t="s">
        <v>859</v>
      </c>
      <c r="P48" s="1745"/>
      <c r="Q48" s="1745"/>
      <c r="R48" s="1745"/>
      <c r="S48" s="1745"/>
      <c r="T48" s="1745"/>
      <c r="U48" s="1745"/>
      <c r="V48" s="1745"/>
      <c r="W48" s="1745"/>
      <c r="Y48" s="1386" t="s">
        <v>849</v>
      </c>
      <c r="Z48" s="1746" t="s">
        <v>850</v>
      </c>
      <c r="AA48" s="1746"/>
      <c r="AB48" s="1746"/>
      <c r="AC48" s="1746"/>
    </row>
    <row r="49" spans="14:29">
      <c r="N49" s="1386" t="s">
        <v>862</v>
      </c>
      <c r="O49" s="1745" t="s">
        <v>863</v>
      </c>
      <c r="P49" s="1745"/>
      <c r="Q49" s="1745"/>
      <c r="R49" s="1745"/>
      <c r="S49" s="1745"/>
      <c r="T49" s="1745"/>
      <c r="U49" s="1745"/>
      <c r="V49" s="1745"/>
      <c r="W49" s="1745"/>
      <c r="Y49" s="1388" t="s">
        <v>851</v>
      </c>
      <c r="Z49" s="1749" t="s">
        <v>852</v>
      </c>
      <c r="AA49" s="1749"/>
      <c r="AB49" s="1749"/>
      <c r="AC49" s="1749"/>
    </row>
    <row r="50" spans="14:29">
      <c r="N50" s="1386" t="s">
        <v>857</v>
      </c>
      <c r="O50" s="1745" t="s">
        <v>864</v>
      </c>
      <c r="P50" s="1745"/>
      <c r="Q50" s="1745"/>
      <c r="R50" s="1745"/>
      <c r="S50" s="1745"/>
      <c r="T50" s="1745"/>
      <c r="U50" s="1745"/>
      <c r="V50" s="1745"/>
      <c r="W50" s="1745"/>
    </row>
    <row r="51" spans="14:29">
      <c r="N51" s="1388" t="s">
        <v>860</v>
      </c>
      <c r="O51" s="1748" t="s">
        <v>865</v>
      </c>
      <c r="P51" s="1748"/>
      <c r="Q51" s="1748"/>
      <c r="R51" s="1748"/>
      <c r="S51" s="1748"/>
      <c r="T51" s="1748"/>
      <c r="U51" s="1748"/>
      <c r="V51" s="1748"/>
      <c r="W51" s="1748"/>
    </row>
  </sheetData>
  <sheetProtection algorithmName="SHA-512" hashValue="MbpFSXGV4j9X9gBN+n1j9r/kqxChceqiu/K3seiOPs26RA+vQkqPYuT/cXfS8twZC9rTtfP2l5HNJM/OxpZUtg==" saltValue="TYP9DWjlAN7Ipr8odc8e6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JcRaBiSL/py5YLCg3u9r2k+6//hvM8bYu68AMHxnd43nRKKDRIjcI+MhEG/LP6xpQvf8L0BqIqDQT3P6l5sZdg==" saltValue="sJR0xVDAOmrheK2yhPcF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349</v>
      </c>
      <c r="CF4" s="1829"/>
      <c r="CG4" s="1829"/>
      <c r="CH4" s="1830"/>
    </row>
    <row r="5" spans="1:155" ht="12.75" customHeight="1" thickBot="1">
      <c r="A5" s="1798" t="str">
        <f>"Año:  " &amp;Criterios!B5 &amp; "                  Trimestre   " &amp;Criterios!D5 &amp; " al " &amp;Criterios!D6</f>
        <v>Año:  2022                  Trimestre   1 al 1</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c r="BO5" s="1687"/>
      <c r="BP5" s="1686"/>
      <c r="BQ5" s="1687"/>
      <c r="BR5" s="1686"/>
      <c r="BS5" s="1687"/>
      <c r="BT5" s="1686"/>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998</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t="s">
        <v>1072</v>
      </c>
      <c r="J9" s="194" t="s">
        <v>1064</v>
      </c>
      <c r="K9" s="194" t="s">
        <v>1126</v>
      </c>
      <c r="L9" s="194" t="s">
        <v>1077</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25</v>
      </c>
      <c r="J10" s="194">
        <v>28</v>
      </c>
      <c r="K10" s="194">
        <v>17</v>
      </c>
      <c r="L10" s="194">
        <v>36</v>
      </c>
      <c r="M10" s="194">
        <v>8</v>
      </c>
      <c r="N10" s="194">
        <v>6</v>
      </c>
      <c r="O10" s="194">
        <v>2</v>
      </c>
      <c r="P10" s="194">
        <v>7</v>
      </c>
      <c r="Q10" s="194">
        <v>0</v>
      </c>
      <c r="R10" s="194">
        <v>10</v>
      </c>
      <c r="S10" s="194">
        <v>36</v>
      </c>
      <c r="T10" s="194">
        <v>11</v>
      </c>
      <c r="U10" s="194">
        <v>12</v>
      </c>
      <c r="V10" s="194">
        <v>35</v>
      </c>
      <c r="W10" s="194">
        <v>6</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36</v>
      </c>
      <c r="AZ10" s="139">
        <f t="shared" si="0"/>
        <v>11</v>
      </c>
      <c r="BA10" s="139">
        <f t="shared" si="0"/>
        <v>12</v>
      </c>
      <c r="BB10" s="139">
        <f t="shared" si="0"/>
        <v>35</v>
      </c>
      <c r="BC10" s="135">
        <f t="shared" si="0"/>
        <v>6</v>
      </c>
      <c r="BD10" s="136">
        <f>IF(ISNUMBER(BA10/AZ10),BA10/AZ10," - ")</f>
        <v>1.0909090909090908</v>
      </c>
      <c r="BE10" s="137">
        <f>IF(ISNUMBER(BB10/BA10),BB10/BA10, " - ")</f>
        <v>2.9166666666666665</v>
      </c>
      <c r="BF10" s="137">
        <f>IF(ISNUMBER(BC10/BA10),BC10/BA10, " - ")</f>
        <v>0.5</v>
      </c>
      <c r="BG10" s="209">
        <f>IF(ISNUMBER((AY10+AZ10)/BA10),(AY10+AZ10)/BA10," - ")</f>
        <v>3.9166666666666665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1072</v>
      </c>
      <c r="J11" s="196" t="s">
        <v>1064</v>
      </c>
      <c r="K11" s="196" t="s">
        <v>1126</v>
      </c>
      <c r="L11" s="196" t="s">
        <v>1077</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1788</v>
      </c>
      <c r="J12" s="196">
        <v>961</v>
      </c>
      <c r="K12" s="196">
        <v>875</v>
      </c>
      <c r="L12" s="196">
        <v>1866</v>
      </c>
      <c r="M12" s="196">
        <v>345</v>
      </c>
      <c r="N12" s="196">
        <v>287</v>
      </c>
      <c r="O12" s="194">
        <v>382</v>
      </c>
      <c r="P12" s="196">
        <v>304</v>
      </c>
      <c r="Q12" s="196">
        <v>135</v>
      </c>
      <c r="R12" s="196">
        <v>3832</v>
      </c>
      <c r="S12" s="196">
        <v>1633</v>
      </c>
      <c r="T12" s="196">
        <v>958</v>
      </c>
      <c r="U12" s="196">
        <v>845</v>
      </c>
      <c r="V12" s="196">
        <v>1809</v>
      </c>
      <c r="W12" s="196">
        <v>367</v>
      </c>
      <c r="X12" s="202">
        <v>236</v>
      </c>
      <c r="Y12" s="204">
        <v>172</v>
      </c>
      <c r="Z12" s="194">
        <v>60</v>
      </c>
      <c r="AA12" s="194">
        <v>122</v>
      </c>
      <c r="AB12" s="194">
        <v>38</v>
      </c>
      <c r="AC12" s="196">
        <v>0</v>
      </c>
      <c r="AD12" s="196">
        <v>0</v>
      </c>
      <c r="AE12" s="196">
        <v>0</v>
      </c>
      <c r="AF12" s="202">
        <v>0</v>
      </c>
      <c r="AG12" s="215">
        <v>66</v>
      </c>
      <c r="AH12" s="196">
        <v>54</v>
      </c>
      <c r="AI12" s="196">
        <v>56</v>
      </c>
      <c r="AJ12" s="216">
        <v>55</v>
      </c>
      <c r="AK12" s="195">
        <v>0</v>
      </c>
      <c r="AL12" s="196">
        <v>0</v>
      </c>
      <c r="AM12" s="196">
        <v>0</v>
      </c>
      <c r="AN12" s="202">
        <v>0</v>
      </c>
      <c r="AO12" s="283">
        <v>6</v>
      </c>
      <c r="AP12" s="168">
        <v>6</v>
      </c>
      <c r="AQ12" s="168">
        <v>6</v>
      </c>
      <c r="AR12" s="167">
        <v>6</v>
      </c>
      <c r="AS12" s="381" t="s">
        <v>1066</v>
      </c>
      <c r="AT12" s="216"/>
      <c r="AU12" s="215"/>
      <c r="AV12" s="216"/>
      <c r="AW12" s="215"/>
      <c r="AX12" s="216"/>
      <c r="AY12" s="136">
        <f t="shared" si="1"/>
        <v>1699</v>
      </c>
      <c r="AZ12" s="137">
        <f t="shared" si="1"/>
        <v>1012</v>
      </c>
      <c r="BA12" s="137">
        <f t="shared" si="1"/>
        <v>901</v>
      </c>
      <c r="BB12" s="137">
        <f t="shared" si="1"/>
        <v>1864</v>
      </c>
      <c r="BC12" s="135">
        <f>IF(ISNUMBER(X12),X12," - ")</f>
        <v>236</v>
      </c>
      <c r="BD12" s="136">
        <f t="shared" si="2"/>
        <v>0.89031620553359681</v>
      </c>
      <c r="BE12" s="137">
        <f t="shared" si="3"/>
        <v>2.0688124306326303</v>
      </c>
      <c r="BF12" s="137">
        <f t="shared" si="4"/>
        <v>0.2619311875693674</v>
      </c>
      <c r="BG12" s="209">
        <f t="shared" si="5"/>
        <v>3.0088790233074363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1813</v>
      </c>
      <c r="J14" s="197">
        <f t="shared" si="7"/>
        <v>989</v>
      </c>
      <c r="K14" s="197">
        <f t="shared" si="7"/>
        <v>892</v>
      </c>
      <c r="L14" s="197">
        <f t="shared" si="7"/>
        <v>1902</v>
      </c>
      <c r="M14" s="197">
        <f t="shared" si="7"/>
        <v>353</v>
      </c>
      <c r="N14" s="197">
        <f t="shared" si="7"/>
        <v>293</v>
      </c>
      <c r="O14" s="197">
        <f t="shared" si="7"/>
        <v>384</v>
      </c>
      <c r="P14" s="197">
        <f t="shared" si="7"/>
        <v>311</v>
      </c>
      <c r="Q14" s="197">
        <f t="shared" si="7"/>
        <v>135</v>
      </c>
      <c r="R14" s="197">
        <f t="shared" si="7"/>
        <v>3842</v>
      </c>
      <c r="S14" s="197">
        <f t="shared" si="7"/>
        <v>1669</v>
      </c>
      <c r="T14" s="197">
        <f t="shared" si="7"/>
        <v>969</v>
      </c>
      <c r="U14" s="197">
        <f t="shared" si="7"/>
        <v>857</v>
      </c>
      <c r="V14" s="197">
        <f t="shared" si="7"/>
        <v>1844</v>
      </c>
      <c r="W14" s="197">
        <f t="shared" si="7"/>
        <v>373</v>
      </c>
      <c r="X14" s="197">
        <f t="shared" si="7"/>
        <v>241</v>
      </c>
      <c r="Y14" s="197">
        <f t="shared" si="7"/>
        <v>172</v>
      </c>
      <c r="Z14" s="197">
        <f t="shared" si="7"/>
        <v>60</v>
      </c>
      <c r="AA14" s="197">
        <f t="shared" si="7"/>
        <v>122</v>
      </c>
      <c r="AB14" s="197">
        <f t="shared" si="7"/>
        <v>38</v>
      </c>
      <c r="AC14" s="197">
        <f t="shared" si="7"/>
        <v>0</v>
      </c>
      <c r="AD14" s="197">
        <f t="shared" si="7"/>
        <v>0</v>
      </c>
      <c r="AE14" s="197">
        <f t="shared" si="7"/>
        <v>0</v>
      </c>
      <c r="AF14" s="197">
        <f>SUBTOTAL(9,AF9:AF13)</f>
        <v>0</v>
      </c>
      <c r="AG14" s="197">
        <f t="shared" ref="AG14:AT14" si="8">SUBTOTAL(9,AG8:AG13)</f>
        <v>66</v>
      </c>
      <c r="AH14" s="197">
        <f t="shared" si="8"/>
        <v>54</v>
      </c>
      <c r="AI14" s="197">
        <f t="shared" si="8"/>
        <v>56</v>
      </c>
      <c r="AJ14" s="197">
        <f t="shared" si="8"/>
        <v>55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1735</v>
      </c>
      <c r="AZ14" s="197">
        <f>SUBTOTAL(9,AZ8:AZ13)</f>
        <v>1023</v>
      </c>
      <c r="BA14" s="197">
        <f>SUBTOTAL(9,BA8:BA13)</f>
        <v>913</v>
      </c>
      <c r="BB14" s="197">
        <f>SUBTOTAL(9,BB8:BB13)</f>
        <v>1899</v>
      </c>
      <c r="BC14" s="197">
        <f>SUBTOTAL(9,BC8:BC13)</f>
        <v>242</v>
      </c>
      <c r="BD14" s="219">
        <f>IF(ISNUMBER(BA14/AZ14),BA14/AZ14," - ")</f>
        <v>0.89247311827956988</v>
      </c>
      <c r="BE14" s="220">
        <f>IF(ISNUMBER(BB14/BA14),BB14/BA14, " - ")</f>
        <v>2.0799561883899234</v>
      </c>
      <c r="BF14" s="220">
        <f>IF(ISNUMBER(BC14/BA14),BC14/BA14, " - ")</f>
        <v>0.26506024096385544</v>
      </c>
      <c r="BG14" s="221">
        <f>IF(ISNUMBER((AY14+AZ14)/BA14),(AY14+AZ14)/BA14," - ")</f>
        <v>3.0208105147864184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615</v>
      </c>
      <c r="J17" s="196">
        <v>1378</v>
      </c>
      <c r="K17" s="196">
        <v>1450</v>
      </c>
      <c r="L17" s="196">
        <v>544</v>
      </c>
      <c r="M17" s="196">
        <v>152</v>
      </c>
      <c r="N17" s="196">
        <v>963</v>
      </c>
      <c r="O17" s="194">
        <v>2</v>
      </c>
      <c r="P17" s="196">
        <v>55</v>
      </c>
      <c r="Q17" s="196">
        <v>55</v>
      </c>
      <c r="R17" s="196">
        <v>153</v>
      </c>
      <c r="S17" s="196">
        <v>770</v>
      </c>
      <c r="T17" s="196">
        <v>1110</v>
      </c>
      <c r="U17" s="196">
        <v>1212</v>
      </c>
      <c r="V17" s="196">
        <v>667</v>
      </c>
      <c r="W17" s="196">
        <v>142</v>
      </c>
      <c r="X17" s="202">
        <v>741</v>
      </c>
      <c r="Y17" s="215">
        <v>0</v>
      </c>
      <c r="Z17" s="196">
        <v>0</v>
      </c>
      <c r="AA17" s="196">
        <v>0</v>
      </c>
      <c r="AB17" s="196">
        <v>0</v>
      </c>
      <c r="AC17" s="196">
        <v>0</v>
      </c>
      <c r="AD17" s="196">
        <v>1</v>
      </c>
      <c r="AE17" s="196">
        <v>1</v>
      </c>
      <c r="AF17" s="202">
        <v>0</v>
      </c>
      <c r="AG17" s="215">
        <v>0</v>
      </c>
      <c r="AH17" s="196">
        <v>0</v>
      </c>
      <c r="AI17" s="196">
        <v>0</v>
      </c>
      <c r="AJ17" s="216">
        <v>0</v>
      </c>
      <c r="AK17" s="195">
        <v>0</v>
      </c>
      <c r="AL17" s="196">
        <v>4</v>
      </c>
      <c r="AM17" s="196">
        <v>4</v>
      </c>
      <c r="AN17" s="202">
        <v>0</v>
      </c>
      <c r="AO17" s="283">
        <v>6</v>
      </c>
      <c r="AP17" s="168">
        <v>6</v>
      </c>
      <c r="AQ17" s="168">
        <v>6</v>
      </c>
      <c r="AR17" s="168">
        <v>6</v>
      </c>
      <c r="AS17" s="381" t="s">
        <v>649</v>
      </c>
      <c r="AT17" s="216"/>
      <c r="AU17" s="215"/>
      <c r="AV17" s="216"/>
      <c r="AW17" s="215"/>
      <c r="AX17" s="216"/>
      <c r="AY17" s="136">
        <f t="shared" si="10"/>
        <v>770</v>
      </c>
      <c r="AZ17" s="137">
        <f t="shared" si="10"/>
        <v>1110</v>
      </c>
      <c r="BA17" s="137">
        <f t="shared" si="10"/>
        <v>1212</v>
      </c>
      <c r="BB17" s="137">
        <f t="shared" si="10"/>
        <v>667</v>
      </c>
      <c r="BC17" s="135">
        <f>IF(ISNUMBER(W17),W17," - ")</f>
        <v>142</v>
      </c>
      <c r="BD17" s="136">
        <f t="shared" ref="BD17:BD22" si="12">IF(ISNUMBER(BA17/AZ17),BA17/AZ17," - ")</f>
        <v>1.0918918918918918</v>
      </c>
      <c r="BE17" s="137">
        <f t="shared" ref="BE17:BE22" si="13">IF(ISNUMBER(BB17/BA17),BB17/BA17, " - ")</f>
        <v>0.5503300330033003</v>
      </c>
      <c r="BF17" s="137">
        <f t="shared" ref="BF17:BF22" si="14">IF(ISNUMBER(BC17/BA17),BC17/BA17, " - ")</f>
        <v>0.11716171617161716</v>
      </c>
      <c r="BG17" s="209">
        <f t="shared" si="11"/>
        <v>1.5511551155115511</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42</v>
      </c>
      <c r="J18" s="196">
        <v>87</v>
      </c>
      <c r="K18" s="196">
        <v>70</v>
      </c>
      <c r="L18" s="196">
        <v>59</v>
      </c>
      <c r="M18" s="196">
        <v>12</v>
      </c>
      <c r="N18" s="196">
        <v>30</v>
      </c>
      <c r="O18" s="196">
        <v>0</v>
      </c>
      <c r="P18" s="196">
        <v>2</v>
      </c>
      <c r="Q18" s="196">
        <v>1</v>
      </c>
      <c r="R18" s="196">
        <v>3</v>
      </c>
      <c r="S18" s="196">
        <v>110</v>
      </c>
      <c r="T18" s="196">
        <v>126</v>
      </c>
      <c r="U18" s="196">
        <v>165</v>
      </c>
      <c r="V18" s="196">
        <v>71</v>
      </c>
      <c r="W18" s="196">
        <v>13</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110</v>
      </c>
      <c r="AZ18" s="139">
        <f t="shared" si="15"/>
        <v>126</v>
      </c>
      <c r="BA18" s="139">
        <f t="shared" si="15"/>
        <v>165</v>
      </c>
      <c r="BB18" s="139">
        <f t="shared" si="15"/>
        <v>71</v>
      </c>
      <c r="BC18" s="135">
        <f>IF(ISNUMBER(W18),W18," - ")</f>
        <v>13</v>
      </c>
      <c r="BD18" s="136">
        <f>IF(ISNUMBER(BA18/AZ18),BA18/AZ18," - ")</f>
        <v>1.3095238095238095</v>
      </c>
      <c r="BE18" s="137">
        <f>IF(ISNUMBER(BB18/BA18),BB18/BA18, " - ")</f>
        <v>0.4303030303030303</v>
      </c>
      <c r="BF18" s="137">
        <f>IF(ISNUMBER(BC18/BA18),BC18/BA18, " - ")</f>
        <v>7.8787878787878782E-2</v>
      </c>
      <c r="BG18" s="209">
        <f>IF(ISNUMBER((AY18+AZ18)/BA18),(AY18+AZ18)/BA18," - ")</f>
        <v>1.4303030303030304</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0</v>
      </c>
      <c r="J21" s="196">
        <v>0</v>
      </c>
      <c r="K21" s="196">
        <v>0</v>
      </c>
      <c r="L21" s="196">
        <v>0</v>
      </c>
      <c r="M21" s="196">
        <v>0</v>
      </c>
      <c r="N21" s="196">
        <v>0</v>
      </c>
      <c r="O21" s="196">
        <v>0</v>
      </c>
      <c r="P21" s="196">
        <v>0</v>
      </c>
      <c r="Q21" s="196">
        <v>0</v>
      </c>
      <c r="R21" s="196">
        <v>2</v>
      </c>
      <c r="S21" s="196">
        <v>0</v>
      </c>
      <c r="T21" s="196">
        <v>0</v>
      </c>
      <c r="U21" s="196">
        <v>0</v>
      </c>
      <c r="V21" s="196">
        <v>0</v>
      </c>
      <c r="W21" s="196">
        <v>0</v>
      </c>
      <c r="X21" s="202">
        <v>0</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0</v>
      </c>
      <c r="AQ21" s="168">
        <v>0</v>
      </c>
      <c r="AR21" s="168">
        <v>0</v>
      </c>
      <c r="AS21" s="381" t="s">
        <v>205</v>
      </c>
      <c r="AT21" s="345"/>
      <c r="AU21" s="215"/>
      <c r="AV21" s="216"/>
      <c r="AW21" s="215"/>
      <c r="AX21" s="216"/>
      <c r="AY21" s="138">
        <f t="shared" si="16"/>
        <v>0</v>
      </c>
      <c r="AZ21" s="139">
        <f t="shared" si="17"/>
        <v>0</v>
      </c>
      <c r="BA21" s="139">
        <f t="shared" si="18"/>
        <v>0</v>
      </c>
      <c r="BB21" s="139">
        <f t="shared" si="19"/>
        <v>0</v>
      </c>
      <c r="BC21" s="135">
        <f t="shared" si="20"/>
        <v>0</v>
      </c>
      <c r="BD21" s="136" t="str">
        <f t="shared" si="12"/>
        <v xml:space="preserve"> - </v>
      </c>
      <c r="BE21" s="137" t="str">
        <f t="shared" si="13"/>
        <v xml:space="preserve"> - </v>
      </c>
      <c r="BF21" s="137" t="str">
        <f t="shared" si="14"/>
        <v xml:space="preserve"> - </v>
      </c>
      <c r="BG21" s="209" t="str">
        <f t="shared" si="11"/>
        <v xml:space="preserve"> - </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657</v>
      </c>
      <c r="J23" s="197">
        <f t="shared" si="21"/>
        <v>1465</v>
      </c>
      <c r="K23" s="197">
        <f t="shared" si="21"/>
        <v>1520</v>
      </c>
      <c r="L23" s="197">
        <f t="shared" si="21"/>
        <v>603</v>
      </c>
      <c r="M23" s="197">
        <f t="shared" si="21"/>
        <v>164</v>
      </c>
      <c r="N23" s="197">
        <f t="shared" si="21"/>
        <v>993</v>
      </c>
      <c r="O23" s="197">
        <f t="shared" si="21"/>
        <v>2</v>
      </c>
      <c r="P23" s="197">
        <f t="shared" si="21"/>
        <v>57</v>
      </c>
      <c r="Q23" s="197">
        <f t="shared" si="21"/>
        <v>56</v>
      </c>
      <c r="R23" s="197">
        <f t="shared" si="21"/>
        <v>158</v>
      </c>
      <c r="S23" s="197">
        <f t="shared" si="21"/>
        <v>880</v>
      </c>
      <c r="T23" s="197">
        <f t="shared" si="21"/>
        <v>1236</v>
      </c>
      <c r="U23" s="197">
        <f t="shared" si="21"/>
        <v>1377</v>
      </c>
      <c r="V23" s="197">
        <f t="shared" si="21"/>
        <v>738</v>
      </c>
      <c r="W23" s="197">
        <f t="shared" si="21"/>
        <v>155</v>
      </c>
      <c r="X23" s="197">
        <f t="shared" si="21"/>
        <v>773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8</v>
      </c>
      <c r="AP23" s="197">
        <f t="shared" si="21"/>
        <v>6</v>
      </c>
      <c r="AQ23" s="197">
        <f t="shared" si="21"/>
        <v>6</v>
      </c>
      <c r="AR23" s="197">
        <f t="shared" si="21"/>
        <v>6</v>
      </c>
      <c r="AS23" s="197">
        <f t="shared" si="21"/>
        <v>0</v>
      </c>
      <c r="AT23" s="197">
        <f t="shared" si="21"/>
        <v>0</v>
      </c>
      <c r="AU23" s="217"/>
      <c r="AV23" s="142"/>
      <c r="AW23" s="217"/>
      <c r="AX23" s="142"/>
      <c r="AY23" s="197">
        <f>SUBTOTAL(9,AY15:AY22)</f>
        <v>880</v>
      </c>
      <c r="AZ23" s="197">
        <f>SUBTOTAL(9,AZ15:AZ22)</f>
        <v>1236</v>
      </c>
      <c r="BA23" s="197">
        <f>SUBTOTAL(9,BA15:BA22)</f>
        <v>1377</v>
      </c>
      <c r="BB23" s="197">
        <f>SUBTOTAL(9,BB15:BB22)</f>
        <v>738</v>
      </c>
      <c r="BC23" s="197">
        <f>SUBTOTAL(9,BC15:BC22)</f>
        <v>155</v>
      </c>
      <c r="BD23" s="219">
        <f>IF(ISNUMBER(BA23/AZ23),BA23/AZ23," - ")</f>
        <v>1.1140776699029127</v>
      </c>
      <c r="BE23" s="220">
        <f>IF(ISNUMBER(BB23/BA23),BB23/BA23, " - ")</f>
        <v>0.53594771241830064</v>
      </c>
      <c r="BF23" s="220">
        <f>IF(ISNUMBER(BC23/BA23),BC23/BA23, " - ")</f>
        <v>0.11256354393609296</v>
      </c>
      <c r="BG23" s="221">
        <f>IF(ISNUMBER((AY23+AZ23)/BA23),(AY23+AZ23)/BA23," - ")</f>
        <v>1.5366739288307916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2470</v>
      </c>
      <c r="J31" s="144">
        <f t="shared" si="36"/>
        <v>2454</v>
      </c>
      <c r="K31" s="144">
        <f t="shared" si="36"/>
        <v>2412</v>
      </c>
      <c r="L31" s="144">
        <f t="shared" si="36"/>
        <v>2505</v>
      </c>
      <c r="M31" s="144">
        <f t="shared" si="36"/>
        <v>517</v>
      </c>
      <c r="N31" s="144">
        <f t="shared" si="36"/>
        <v>1286</v>
      </c>
      <c r="O31" s="144">
        <f t="shared" si="36"/>
        <v>386</v>
      </c>
      <c r="P31" s="144">
        <f t="shared" si="36"/>
        <v>368</v>
      </c>
      <c r="Q31" s="144">
        <f t="shared" si="36"/>
        <v>191</v>
      </c>
      <c r="R31" s="144">
        <f t="shared" si="36"/>
        <v>4000</v>
      </c>
      <c r="S31" s="144">
        <f t="shared" si="36"/>
        <v>2549</v>
      </c>
      <c r="T31" s="144">
        <f t="shared" si="36"/>
        <v>2205</v>
      </c>
      <c r="U31" s="144">
        <f t="shared" si="36"/>
        <v>2234</v>
      </c>
      <c r="V31" s="144">
        <f t="shared" si="36"/>
        <v>2582</v>
      </c>
      <c r="W31" s="144">
        <f t="shared" si="36"/>
        <v>528</v>
      </c>
      <c r="X31" s="144">
        <f t="shared" si="36"/>
        <v>1014</v>
      </c>
      <c r="Y31" s="144">
        <f t="shared" si="36"/>
        <v>172</v>
      </c>
      <c r="Z31" s="144">
        <f t="shared" si="36"/>
        <v>60</v>
      </c>
      <c r="AA31" s="144">
        <f t="shared" si="36"/>
        <v>122</v>
      </c>
      <c r="AB31" s="144">
        <f t="shared" si="36"/>
        <v>38</v>
      </c>
      <c r="AC31" s="144">
        <f t="shared" si="36"/>
        <v>0</v>
      </c>
      <c r="AD31" s="144">
        <f t="shared" si="36"/>
        <v>1</v>
      </c>
      <c r="AE31" s="144">
        <f t="shared" si="36"/>
        <v>1</v>
      </c>
      <c r="AF31" s="144">
        <f t="shared" si="36"/>
        <v>0</v>
      </c>
      <c r="AG31" s="144">
        <f t="shared" si="36"/>
        <v>66</v>
      </c>
      <c r="AH31" s="144">
        <f t="shared" si="36"/>
        <v>54</v>
      </c>
      <c r="AI31" s="144">
        <f t="shared" si="36"/>
        <v>56</v>
      </c>
      <c r="AJ31" s="144">
        <f t="shared" si="36"/>
        <v>55</v>
      </c>
      <c r="AK31" s="144">
        <f t="shared" si="36"/>
        <v>0</v>
      </c>
      <c r="AL31" s="144">
        <f t="shared" si="36"/>
        <v>4</v>
      </c>
      <c r="AM31" s="144">
        <f t="shared" si="36"/>
        <v>4</v>
      </c>
      <c r="AN31" s="224">
        <f t="shared" si="36"/>
        <v>0</v>
      </c>
      <c r="AO31" s="225">
        <v>8</v>
      </c>
      <c r="AP31" s="225">
        <v>6</v>
      </c>
      <c r="AQ31" s="225">
        <v>6</v>
      </c>
      <c r="AR31" s="225">
        <v>6</v>
      </c>
      <c r="AS31" s="166">
        <f t="shared" si="36"/>
        <v>0</v>
      </c>
      <c r="AT31" s="166">
        <f t="shared" si="36"/>
        <v>0</v>
      </c>
      <c r="AU31" s="225"/>
      <c r="AV31" s="226"/>
      <c r="AW31" s="225"/>
      <c r="AX31" s="226"/>
      <c r="AY31" s="143">
        <f>SUBTOTAL(9,AY9:AY30)</f>
        <v>2615</v>
      </c>
      <c r="AZ31" s="144">
        <f>SUBTOTAL(9,AZ9:AZ30)</f>
        <v>2259</v>
      </c>
      <c r="BA31" s="144">
        <f>SUBTOTAL(9,BA9:BA30)</f>
        <v>2290</v>
      </c>
      <c r="BB31" s="144">
        <f>SUBTOTAL(9,BB9:BB30)</f>
        <v>2637</v>
      </c>
      <c r="BC31" s="145">
        <f>SUBTOTAL(9,BC9:BC30)</f>
        <v>397</v>
      </c>
      <c r="BD31" s="227">
        <f>IF(ISNUMBER(BA31/AZ31),BA31/AZ31," - ")</f>
        <v>1.0137228862328465</v>
      </c>
      <c r="BE31" s="224">
        <f>IF(ISNUMBER(BB31/BA31),BB31/BA31, " - ")</f>
        <v>1.1515283842794759</v>
      </c>
      <c r="BF31" s="224">
        <f>IF(ISNUMBER(BC31/BA31),BC31/BA31, " - ")</f>
        <v>0.17336244541484716</v>
      </c>
      <c r="BG31" s="145">
        <f>IF(ISNUMBER((AY31+AZ31)/BA31),(AY31+AZ31)/BA31," - ")</f>
        <v>2.1283842794759824</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8el7NNpdr0AEPvBKjyNh/wAUacTKNnnCk70hnGN3sMP/lO6GWaIQwnympkCLuTMwo/xSRzdm03fPhyN9yFjRw==" saltValue="1o5Qlm6qD0F35ixhCpSB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349</v>
      </c>
      <c r="CF4" s="1829"/>
      <c r="CG4" s="1829"/>
      <c r="CH4" s="1830"/>
    </row>
    <row r="5" spans="1:155" ht="12.75" customHeight="1" thickBot="1">
      <c r="A5" s="1798" t="str">
        <f>"Año:  " &amp;Criterios!B5 &amp; "                  Trimestre   " &amp;Criterios!D5 &amp; " al " &amp;Criterios!D6</f>
        <v>Año:  2022                  Trimestre   1 al 1</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501</v>
      </c>
      <c r="BN5" s="1686"/>
      <c r="BO5" s="1687"/>
      <c r="BP5" s="1686"/>
      <c r="BQ5" s="1687"/>
      <c r="BR5" s="1686"/>
      <c r="BS5" s="1687"/>
      <c r="BT5" s="1686"/>
      <c r="BU5" s="1687"/>
      <c r="BV5" s="1839" t="s">
        <v>348</v>
      </c>
      <c r="BW5" s="1876" t="s">
        <v>326</v>
      </c>
      <c r="BX5" s="1876"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601</v>
      </c>
      <c r="CL5" s="1756" t="s">
        <v>602</v>
      </c>
      <c r="CM5" s="1756" t="s">
        <v>603</v>
      </c>
      <c r="CN5" s="1772" t="s">
        <v>483</v>
      </c>
      <c r="CO5" s="1772" t="s">
        <v>476</v>
      </c>
      <c r="CP5" s="1772" t="s">
        <v>482</v>
      </c>
      <c r="CQ5" s="1775" t="s">
        <v>481</v>
      </c>
      <c r="CR5" s="1775" t="s">
        <v>61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641</v>
      </c>
      <c r="DM5" s="1848" t="s">
        <v>705</v>
      </c>
      <c r="DN5" s="1848" t="s">
        <v>706</v>
      </c>
      <c r="DO5" s="1848" t="s">
        <v>707</v>
      </c>
      <c r="DP5" s="1848" t="s">
        <v>708</v>
      </c>
      <c r="DQ5" s="1848" t="s">
        <v>709</v>
      </c>
      <c r="DR5" s="1848" t="s">
        <v>710</v>
      </c>
      <c r="DS5" s="1848" t="s">
        <v>711</v>
      </c>
      <c r="DT5" s="1848" t="s">
        <v>712</v>
      </c>
      <c r="DU5" s="1861" t="s">
        <v>713</v>
      </c>
      <c r="DV5" s="1861" t="s">
        <v>714</v>
      </c>
      <c r="DW5" s="1858" t="s">
        <v>715</v>
      </c>
      <c r="DX5" s="1848" t="s">
        <v>716</v>
      </c>
      <c r="DY5" s="1855" t="s">
        <v>717</v>
      </c>
      <c r="DZ5" s="1858" t="s">
        <v>718</v>
      </c>
      <c r="EA5" s="1855" t="s">
        <v>719</v>
      </c>
      <c r="EB5" s="1852" t="s">
        <v>779</v>
      </c>
      <c r="EC5" s="1852" t="s">
        <v>816</v>
      </c>
      <c r="ED5" s="1852" t="s">
        <v>781</v>
      </c>
      <c r="EE5" s="1852" t="s">
        <v>821</v>
      </c>
      <c r="EF5" s="1852" t="s">
        <v>822</v>
      </c>
      <c r="EG5" s="1855" t="s">
        <v>823</v>
      </c>
      <c r="EH5" s="1855" t="s">
        <v>824</v>
      </c>
      <c r="EI5" s="1855" t="s">
        <v>783</v>
      </c>
      <c r="EJ5" s="1855" t="s">
        <v>784</v>
      </c>
      <c r="EK5" s="1879" t="s">
        <v>872</v>
      </c>
      <c r="EL5" s="1870" t="s">
        <v>890</v>
      </c>
      <c r="EM5" s="1871"/>
      <c r="EN5" s="1872"/>
      <c r="EO5" s="1768" t="s">
        <v>990</v>
      </c>
      <c r="EP5" s="1768" t="s">
        <v>992</v>
      </c>
      <c r="EQ5" s="1768" t="s">
        <v>993</v>
      </c>
      <c r="ER5" s="1768" t="s">
        <v>998</v>
      </c>
      <c r="ES5" s="1768" t="s">
        <v>1008</v>
      </c>
      <c r="ET5" s="1864" t="s">
        <v>1088</v>
      </c>
      <c r="EU5" s="1864" t="s">
        <v>1089</v>
      </c>
      <c r="EV5" s="1771" t="s">
        <v>1110</v>
      </c>
      <c r="EW5" s="1855" t="s">
        <v>1113</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989</v>
      </c>
      <c r="B7" s="1802"/>
      <c r="C7" s="1805"/>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891</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1090</v>
      </c>
      <c r="EU8" s="1519" t="s">
        <v>1091</v>
      </c>
      <c r="EV8" s="1519" t="s">
        <v>1099</v>
      </c>
      <c r="EW8" s="532" t="s">
        <v>1112</v>
      </c>
      <c r="EX8" s="532" t="s">
        <v>1145</v>
      </c>
      <c r="EY8" s="532" t="s">
        <v>1158</v>
      </c>
    </row>
    <row r="9" spans="1:155" s="788" customFormat="1" ht="14.25" customHeight="1">
      <c r="A9" s="823" t="s">
        <v>72</v>
      </c>
      <c r="B9" s="770" t="s">
        <v>518</v>
      </c>
      <c r="C9" s="771" t="s">
        <v>8</v>
      </c>
      <c r="D9" s="772" t="s">
        <v>25</v>
      </c>
      <c r="E9" s="770" t="s">
        <v>26</v>
      </c>
      <c r="F9" s="770">
        <v>32</v>
      </c>
      <c r="G9" s="773"/>
      <c r="H9" s="824" t="s">
        <v>319</v>
      </c>
      <c r="I9" s="825" t="s">
        <v>1149</v>
      </c>
      <c r="J9" s="775" t="s">
        <v>1151</v>
      </c>
      <c r="K9" s="775" t="s">
        <v>1153</v>
      </c>
      <c r="L9" s="775" t="s">
        <v>1155</v>
      </c>
      <c r="M9" s="775" t="s">
        <v>1157</v>
      </c>
      <c r="N9" s="775" t="s">
        <v>1161</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1167</v>
      </c>
      <c r="AT9" s="832"/>
      <c r="AU9" s="831" t="s">
        <v>1075</v>
      </c>
      <c r="AV9" s="832"/>
      <c r="AW9" s="831" t="s">
        <v>1078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1174</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1134</v>
      </c>
      <c r="CR9" s="836" t="s">
        <v>644</v>
      </c>
      <c r="CS9" s="530"/>
      <c r="CT9" s="530"/>
      <c r="CU9" s="530"/>
      <c r="CV9" s="530" t="s">
        <v>666</v>
      </c>
      <c r="CW9" s="530" t="s">
        <v>531</v>
      </c>
      <c r="CX9" s="530" t="s">
        <v>453</v>
      </c>
      <c r="CY9" s="530" t="s">
        <v>575</v>
      </c>
      <c r="CZ9" s="530" t="s">
        <v>576</v>
      </c>
      <c r="DA9" s="530" t="s">
        <v>577</v>
      </c>
      <c r="DB9" s="831" t="s">
        <v>1168</v>
      </c>
      <c r="DC9" s="831" t="s">
        <v>1169</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1170</v>
      </c>
      <c r="EP9" s="1318" t="s">
        <v>1140</v>
      </c>
      <c r="EQ9" s="1318" t="s">
        <v>1141</v>
      </c>
      <c r="ER9" s="1337">
        <v>1200</v>
      </c>
      <c r="ES9" s="1331"/>
      <c r="ET9" s="1520"/>
      <c r="EU9" s="1520"/>
      <c r="EV9" s="530" t="s">
        <v>1102</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1104</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1071</v>
      </c>
      <c r="J11" s="350" t="s">
        <v>1068</v>
      </c>
      <c r="K11" s="350" t="s">
        <v>1127</v>
      </c>
      <c r="L11" s="350" t="s">
        <v>1079</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1069</v>
      </c>
      <c r="AT11" s="778"/>
      <c r="AU11" s="777" t="s">
        <v>1076</v>
      </c>
      <c r="AV11" s="778"/>
      <c r="AW11" s="777" t="s">
        <v>1080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1176</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1137</v>
      </c>
      <c r="CR11" s="530" t="s">
        <v>1136</v>
      </c>
      <c r="CS11" s="790"/>
      <c r="CT11" s="530"/>
      <c r="CU11" s="530"/>
      <c r="CV11" s="530" t="s">
        <v>666</v>
      </c>
      <c r="CW11" s="530" t="s">
        <v>438</v>
      </c>
      <c r="CX11" s="530" t="s">
        <v>453</v>
      </c>
      <c r="CY11" s="530" t="s">
        <v>575</v>
      </c>
      <c r="CZ11" s="530" t="s">
        <v>576</v>
      </c>
      <c r="DA11" s="530" t="s">
        <v>577</v>
      </c>
      <c r="DB11" s="363" t="s">
        <v>1162</v>
      </c>
      <c r="DC11" s="363" t="s">
        <v>1163</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1101</v>
      </c>
      <c r="EW11" s="836"/>
      <c r="EX11" s="836"/>
      <c r="EY11" s="836"/>
    </row>
    <row r="12" spans="1:155" s="788" customFormat="1" ht="14.25" customHeight="1">
      <c r="A12" s="823" t="s">
        <v>520</v>
      </c>
      <c r="B12" s="770" t="s">
        <v>518</v>
      </c>
      <c r="C12" s="771" t="s">
        <v>8</v>
      </c>
      <c r="D12" s="772" t="s">
        <v>25</v>
      </c>
      <c r="E12" s="770" t="s">
        <v>25</v>
      </c>
      <c r="F12" s="770">
        <v>31</v>
      </c>
      <c r="G12" s="773"/>
      <c r="H12" s="839"/>
      <c r="I12" s="351" t="s">
        <v>1150</v>
      </c>
      <c r="J12" s="350" t="s">
        <v>1152</v>
      </c>
      <c r="K12" s="350" t="s">
        <v>1154</v>
      </c>
      <c r="L12" s="350" t="s">
        <v>1156</v>
      </c>
      <c r="M12" s="350" t="s">
        <v>1148</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1164</v>
      </c>
      <c r="AT12" s="778"/>
      <c r="AU12" s="777" t="s">
        <v>1073</v>
      </c>
      <c r="AV12" s="778"/>
      <c r="AW12" s="777" t="s">
        <v>1081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1175</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1135</v>
      </c>
      <c r="CR12" s="836"/>
      <c r="CS12" s="790"/>
      <c r="CT12" s="530"/>
      <c r="CU12" s="530"/>
      <c r="CV12" s="530" t="s">
        <v>666</v>
      </c>
      <c r="CW12" s="530" t="s">
        <v>438</v>
      </c>
      <c r="CX12" s="530" t="s">
        <v>453</v>
      </c>
      <c r="CY12" s="530" t="s">
        <v>575</v>
      </c>
      <c r="CZ12" s="530" t="s">
        <v>576</v>
      </c>
      <c r="DA12" s="530" t="s">
        <v>577</v>
      </c>
      <c r="DB12" s="831" t="s">
        <v>1165</v>
      </c>
      <c r="DC12" s="831" t="s">
        <v>1166</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1173</v>
      </c>
      <c r="EP12" s="1318" t="s">
        <v>1142</v>
      </c>
      <c r="EQ12" s="1318" t="s">
        <v>1143</v>
      </c>
      <c r="ER12" s="1337">
        <v>680</v>
      </c>
      <c r="ES12" s="1333"/>
      <c r="ET12" s="1520"/>
      <c r="EU12" s="1520"/>
      <c r="EV12" s="530" t="s">
        <v>1101</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1118</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1119</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1070</v>
      </c>
      <c r="EP16" s="1317" t="s">
        <v>1074</v>
      </c>
      <c r="EQ16" s="1317" t="s">
        <v>1082</v>
      </c>
      <c r="ER16" s="1341" t="s">
        <v>1030</v>
      </c>
      <c r="ES16" s="1332"/>
      <c r="ET16" s="1520"/>
      <c r="EU16" s="1520"/>
      <c r="EV16" s="530" t="s">
        <v>1100</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1100</v>
      </c>
      <c r="EW17" s="168"/>
      <c r="EX17" s="168"/>
      <c r="EY17" s="168"/>
    </row>
    <row r="18" spans="1:155" ht="14.25" customHeight="1">
      <c r="A18" s="7" t="s">
        <v>188</v>
      </c>
      <c r="B18" s="21" t="s">
        <v>518</v>
      </c>
      <c r="C18" s="22" t="s">
        <v>8</v>
      </c>
      <c r="D18" s="23" t="s">
        <v>114</v>
      </c>
      <c r="E18" s="21" t="s">
        <v>114</v>
      </c>
      <c r="F18" s="21" t="s">
        <v>183</v>
      </c>
      <c r="G18" s="6"/>
      <c r="H18" s="24"/>
      <c r="I18" s="25" t="s">
        <v>189</v>
      </c>
      <c r="J18" s="26" t="s">
        <v>1094</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1103</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1083</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1105</v>
      </c>
      <c r="EW19" s="168"/>
      <c r="EX19" s="168"/>
      <c r="EY19" s="168" t="s">
        <v>1160</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1106</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1107</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1114</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1108</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1125</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1109</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JPjzqZbmqE285urlOIZBCfS2aatD3oJS4bqM+MnxKNWTmZyxKf8FsTzwixCb18SjyUZTnphNosp+KctQ786GA==" saltValue="drNLVhTpTda9rlgqzdhJ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CEUTA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464</v>
      </c>
      <c r="B5" s="297"/>
      <c r="C5" s="1891" t="str">
        <f>"Año:  " &amp;Criterios!B$5 &amp; "          Trimestre   " &amp;Criterios!D$5 &amp; " al " &amp;Criterios!D$6</f>
        <v>Año:  2022          Trimestre   1 al 1</v>
      </c>
      <c r="D5" s="1882" t="s">
        <v>490</v>
      </c>
      <c r="E5" s="1882" t="s">
        <v>748</v>
      </c>
      <c r="F5" s="1893" t="s">
        <v>526</v>
      </c>
      <c r="G5" s="1882" t="s">
        <v>173</v>
      </c>
      <c r="H5" s="1882" t="s">
        <v>781</v>
      </c>
      <c r="I5" s="1882" t="s">
        <v>749</v>
      </c>
      <c r="J5" s="1882" t="s">
        <v>866</v>
      </c>
      <c r="K5" s="1882" t="s">
        <v>867</v>
      </c>
      <c r="L5" s="1882" t="s">
        <v>750</v>
      </c>
      <c r="M5" s="1882" t="s">
        <v>705</v>
      </c>
      <c r="N5" s="1882" t="s">
        <v>868</v>
      </c>
      <c r="O5" s="1885" t="s">
        <v>779</v>
      </c>
      <c r="P5" s="1882" t="s">
        <v>888</v>
      </c>
      <c r="Q5" s="1882" t="s">
        <v>882</v>
      </c>
      <c r="R5" s="1882" t="s">
        <v>229</v>
      </c>
      <c r="S5" s="1888" t="s">
        <v>878</v>
      </c>
      <c r="T5" s="1888" t="s">
        <v>881</v>
      </c>
      <c r="U5" s="1882" t="s">
        <v>782</v>
      </c>
      <c r="V5" s="1888" t="s">
        <v>751</v>
      </c>
      <c r="W5" s="1882" t="s">
        <v>1034</v>
      </c>
      <c r="X5" s="1882" t="s">
        <v>1035</v>
      </c>
      <c r="Y5" s="1902" t="s">
        <v>869</v>
      </c>
      <c r="Z5" s="1899" t="s">
        <v>807</v>
      </c>
      <c r="AA5" s="1917" t="s">
        <v>752</v>
      </c>
      <c r="AB5" s="1899" t="s">
        <v>753</v>
      </c>
      <c r="AC5" s="1899" t="s">
        <v>754</v>
      </c>
      <c r="AD5" s="1920" t="s">
        <v>870</v>
      </c>
      <c r="AE5" s="1920" t="s">
        <v>1062</v>
      </c>
      <c r="AF5" s="1882" t="s">
        <v>883</v>
      </c>
      <c r="AG5" s="1882" t="s">
        <v>706</v>
      </c>
      <c r="AH5" s="1882" t="s">
        <v>871</v>
      </c>
      <c r="AI5" s="1882" t="s">
        <v>240</v>
      </c>
      <c r="AJ5" s="1882" t="s">
        <v>938</v>
      </c>
      <c r="AK5" s="1882" t="s">
        <v>707</v>
      </c>
      <c r="AL5" s="1882" t="s">
        <v>708</v>
      </c>
      <c r="AM5" s="1882" t="s">
        <v>889</v>
      </c>
      <c r="AN5" s="1882" t="s">
        <v>709</v>
      </c>
      <c r="AO5" s="1882" t="s">
        <v>710</v>
      </c>
      <c r="AP5" s="1882" t="s">
        <v>711</v>
      </c>
      <c r="AQ5" s="1882" t="s">
        <v>712</v>
      </c>
      <c r="AR5" s="1882" t="s">
        <v>872</v>
      </c>
      <c r="AS5" s="1882" t="s">
        <v>243</v>
      </c>
      <c r="AT5" s="1905" t="s">
        <v>241</v>
      </c>
      <c r="AU5" s="1882" t="s">
        <v>884</v>
      </c>
      <c r="AV5" s="1908" t="s">
        <v>885</v>
      </c>
      <c r="AW5" s="1911" t="s">
        <v>714</v>
      </c>
      <c r="AX5" s="1882" t="s">
        <v>715</v>
      </c>
      <c r="AY5" s="1882" t="s">
        <v>805</v>
      </c>
      <c r="AZ5" s="1914" t="s">
        <v>806</v>
      </c>
      <c r="BA5" s="1882" t="s">
        <v>756</v>
      </c>
      <c r="BB5" s="1908" t="s">
        <v>757</v>
      </c>
      <c r="BC5" s="1911" t="s">
        <v>244</v>
      </c>
      <c r="BD5" s="1882" t="s">
        <v>758</v>
      </c>
      <c r="BE5" s="1882" t="s">
        <v>321</v>
      </c>
      <c r="BF5" s="1882" t="s">
        <v>322</v>
      </c>
      <c r="BG5" s="1882" t="s">
        <v>323</v>
      </c>
      <c r="BH5" s="1882" t="s">
        <v>759</v>
      </c>
      <c r="BI5" s="1882" t="s">
        <v>324</v>
      </c>
      <c r="BJ5" s="1882" t="s">
        <v>760</v>
      </c>
      <c r="BK5" s="1882" t="s">
        <v>775</v>
      </c>
      <c r="BL5" s="1882" t="s">
        <v>761</v>
      </c>
      <c r="BM5" s="1882" t="s">
        <v>762</v>
      </c>
      <c r="BN5" s="1882" t="s">
        <v>790</v>
      </c>
      <c r="BO5" s="1882" t="s">
        <v>783</v>
      </c>
      <c r="BP5" s="1882" t="s">
        <v>1111</v>
      </c>
      <c r="BQ5" s="1882" t="s">
        <v>1115</v>
      </c>
      <c r="BR5" s="1882" t="s">
        <v>1117</v>
      </c>
      <c r="BS5" s="1882" t="s">
        <v>784</v>
      </c>
      <c r="BT5" s="1882" t="s">
        <v>763</v>
      </c>
      <c r="BU5" s="1882" t="s">
        <v>713</v>
      </c>
      <c r="BV5" s="1896" t="s">
        <v>1036</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0</v>
      </c>
      <c r="AD10" s="549"/>
      <c r="AE10" s="563"/>
      <c r="AF10" s="551">
        <f>IF(ISNUMBER(Datos!L10),Datos!L10,"-")</f>
        <v>36</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6</v>
      </c>
      <c r="BE10" s="693" t="str">
        <f>IF(ISNUMBER(Datos!BW10),Datos!BW10," - ")</f>
        <v xml:space="preserve"> - </v>
      </c>
      <c r="BF10" s="762" t="str">
        <f>IF(ISNUMBER(Datos!BX10),Datos!BX10," - ")</f>
        <v xml:space="preserve"> - </v>
      </c>
      <c r="BG10" s="763">
        <f>IF(ISNUMBER(Datos!K10/Datos!J10),Datos!K10/Datos!J10," - ")</f>
        <v>0.6071428571428571</v>
      </c>
      <c r="BH10" s="764">
        <f>IF(ISNUMBER(((Datos!L10/Datos!K10)*11)/factor_trimestre),((Datos!L10/Datos!K10)*11)/factor_trimestre," - ")</f>
        <v>6.3529411764705879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2.3333333333333335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320</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60</v>
      </c>
      <c r="O12" s="549"/>
      <c r="P12" s="549"/>
      <c r="Q12" s="547">
        <f>IF(ISNUMBER(Datos!P12),Datos!P12,0)</f>
        <v>304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3832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345</v>
      </c>
      <c r="BD12" s="693">
        <f>IF(ISNUMBER(Datos!N12),Datos!N12," - ")</f>
        <v>287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0.97649363369245834</v>
      </c>
      <c r="BH12" s="764">
        <f>IF(ISNUMBER(((IF(J_V="SI",Datos!L12/Datos!K12,(Datos!L12+Datos!AB12)/(Datos!K12+Datos!AA12)))*11)/factor_trimestre),((IF(J_V="SI",Datos!L12/Datos!K12,(Datos!L12+Datos!AB12)/(Datos!K12+Datos!AA12)))*11)/factor_trimestre," - ")</f>
        <v>5.7291875626880646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4.6137046137046139E-2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60</v>
      </c>
      <c r="O14" s="1199">
        <f t="shared" si="1"/>
        <v>0</v>
      </c>
      <c r="P14" s="1199">
        <f t="shared" si="1"/>
        <v>0</v>
      </c>
      <c r="Q14" s="1198">
        <f t="shared" si="1"/>
        <v>311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135</v>
      </c>
      <c r="AD14" s="1198">
        <f t="shared" si="2"/>
        <v>0</v>
      </c>
      <c r="AE14" s="1198">
        <f t="shared" si="2"/>
        <v>0</v>
      </c>
      <c r="AF14" s="1198">
        <f t="shared" si="2"/>
        <v>36</v>
      </c>
      <c r="AG14" s="1198">
        <f t="shared" si="2"/>
        <v>0</v>
      </c>
      <c r="AH14" s="1198">
        <f t="shared" si="2"/>
        <v>38</v>
      </c>
      <c r="AI14" s="1198">
        <f t="shared" si="2"/>
        <v>0</v>
      </c>
      <c r="AJ14" s="1198">
        <f t="shared" si="2"/>
        <v>0</v>
      </c>
      <c r="AK14" s="1198">
        <f t="shared" si="2"/>
        <v>0</v>
      </c>
      <c r="AL14" s="1198">
        <f t="shared" si="2"/>
        <v>0</v>
      </c>
      <c r="AM14" s="1198">
        <f t="shared" si="2"/>
        <v>3842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353</v>
      </c>
      <c r="BD14" s="1198">
        <f t="shared" si="2"/>
        <v>293</v>
      </c>
      <c r="BE14" s="1198">
        <f t="shared" si="2"/>
        <v>0</v>
      </c>
      <c r="BF14" s="1198">
        <f t="shared" si="2"/>
        <v>0</v>
      </c>
      <c r="BG14" s="1198">
        <f>IF(ISNUMBER(Datos!K14/Datos!J14),Datos!K14/Datos!J14," - ")</f>
        <v>0.90192113245702732</v>
      </c>
      <c r="BH14" s="1202">
        <f>IF(ISNUMBER(((Datos!L14/Datos!K14)*11)/factor_trimestre),((Datos!L14/Datos!K14)*11)/factor_trimestre," - ")</f>
        <v>6.3968609865470851</v>
      </c>
      <c r="BI14" s="1198">
        <f>IF(ISNUMBER('Resol  Asuntos'!D14/NºAsuntos!G14),'Resol  Asuntos'!D14/NºAsuntos!G14," - ")</f>
        <v>0.34812623274161736</v>
      </c>
      <c r="BJ14" s="1198" t="str">
        <f>IF(ISNUMBER(Datos!CI14/Datos!CJ14),Datos!CI14/Datos!CJ14," - ")</f>
        <v xml:space="preserve"> - </v>
      </c>
      <c r="BK14" s="1198">
        <f>SUBTOTAL(9,BK8:BK13)</f>
        <v>0</v>
      </c>
      <c r="BL14" s="1198">
        <f>IF(ISNUMBER((I14-AB14+L14)/(F14)),(I14-AB14+L14)/(F14)," - ")</f>
        <v>-0.68</v>
      </c>
      <c r="BM14" s="1203">
        <f>SUBTOTAL(9,BM9:BM13)</f>
        <v>2.3794703794703795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510</v>
      </c>
      <c r="C17" s="749" t="str">
        <f>Datos!A17</f>
        <v xml:space="preserve">Jdos. 1ª Instª. e Instr.                        </v>
      </c>
      <c r="D17" s="750"/>
      <c r="E17" s="1555">
        <f>IF(ISNUMBER(Datos!AQ17),Datos!AQ17," - ")</f>
        <v>6</v>
      </c>
      <c r="F17" s="740">
        <f>IF(ISNUMBER(AF17+AB17-Datos!J17-L17),AF17+AB17-Datos!J17-L17," - ")</f>
        <v>616</v>
      </c>
      <c r="G17" s="743">
        <f>IF(ISNUMBER(IF(D_I="SI",Datos!I17,Datos!I17+Datos!AC17)),IF(D_I="SI",Datos!I17,Datos!I17+Datos!AC17)," - ")</f>
        <v>615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1450</v>
      </c>
      <c r="AC17" s="240">
        <f>IF(ISNUMBER(Datos!Q17),Datos!Q17," - ")</f>
        <v>55</v>
      </c>
      <c r="AD17" s="374"/>
      <c r="AE17" s="562"/>
      <c r="AF17" s="741">
        <f>IF(ISNUMBER(IF(D_I="SI",Datos!L17,Datos!L17+Datos!AF17)),IF(D_I="SI",Datos!L17,Datos!L17+Datos!AF17)," - ")</f>
        <v>544</v>
      </c>
      <c r="AG17" s="374"/>
      <c r="AH17" s="374"/>
      <c r="AI17" s="374"/>
      <c r="AJ17" s="549"/>
      <c r="AK17" s="374"/>
      <c r="AL17" s="545"/>
      <c r="AM17" s="375">
        <f>IF(ISNUMBER(Datos!R17),Datos!R17," - ")</f>
        <v>153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152</v>
      </c>
      <c r="BD17" s="243">
        <f>IF(ISNUMBER(Datos!N17),Datos!N17," - ")</f>
        <v>963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1.0522496371552976</v>
      </c>
      <c r="BH17" s="764">
        <f>IF(ISNUMBER(((IF(D_I="SI",Datos!L17/Datos!K17,(Datos!L17+Datos!AF17)/(Datos!K17+Datos!AE17)))*11)/factor_trimestre),((IF(D_I="SI",Datos!L17/Datos!K17,(Datos!L17+Datos!AF17)/(Datos!K17+Datos!AE17)))*11)/factor_trimestre," - ")</f>
        <v>1.1255172413793104</v>
      </c>
      <c r="BI17" s="266">
        <f>IF(ISNUMBER('Resol  Asuntos'!D17/NºAsuntos!G17),'Resol  Asuntos'!D17/NºAsuntos!G17," - ")</f>
        <v>0.10482758620689656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70</v>
      </c>
      <c r="AC18" s="547">
        <f>IF(ISNUMBER(Datos!Q18),Datos!Q18," - ")</f>
        <v>1</v>
      </c>
      <c r="AD18" s="549"/>
      <c r="AE18" s="562"/>
      <c r="AF18" s="551">
        <f>IF(ISNUMBER(Datos!L18),Datos!L18,"-")</f>
        <v>59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0.8045977011494253</v>
      </c>
      <c r="BH18" s="764">
        <f>IF(ISNUMBER(((IF(D_I="SI",Datos!L18/Datos!K18,(Datos!L18+Datos!AF18)/(Datos!K18+Datos!AE18)))*11)/factor_trimestre),((IF(D_I="SI",Datos!L18/Datos!K18,(Datos!L18+Datos!AF18)/(Datos!K18+Datos!AE18)))*11)/factor_trimestre," - ")</f>
        <v>2.5285714285714289</v>
      </c>
      <c r="BI18" s="763">
        <f>IF(ISNUMBER('Resol  Asuntos'!D18/NºAsuntos!G18),'Resol  Asuntos'!D18/NºAsuntos!G18," - ")</f>
        <v>0.17142857142857143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1</v>
      </c>
      <c r="B21" s="746" t="s">
        <v>510</v>
      </c>
      <c r="C21" s="747" t="str">
        <f>Datos!A21</f>
        <v xml:space="preserve">Jdos. de lo Penal                               </v>
      </c>
      <c r="D21" s="601"/>
      <c r="E21" s="1380">
        <f>IF(ISNUMBER(Datos!AQ21),Datos!AQ21," - ")</f>
        <v>0</v>
      </c>
      <c r="F21" s="552">
        <f>IF(ISNUMBER(Datos!L21+Datos!K21-Datos!J21),Datos!L21+Datos!K21-Datos!J21," - ")</f>
        <v>0</v>
      </c>
      <c r="G21" s="543">
        <f>IF(ISNUMBER(Datos!I21),Datos!I21," - ")</f>
        <v>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0</v>
      </c>
      <c r="AC21" s="547">
        <f>IF(ISNUMBER(Datos!Q21),Datos!Q21," - ")</f>
        <v>0</v>
      </c>
      <c r="AD21" s="549"/>
      <c r="AE21" s="563"/>
      <c r="AF21" s="551">
        <f>IF(ISNUMBER(Datos!L21),Datos!L21,"-")</f>
        <v>0</v>
      </c>
      <c r="AG21" s="549"/>
      <c r="AH21" s="549"/>
      <c r="AI21" s="549"/>
      <c r="AJ21" s="549"/>
      <c r="AK21" s="549"/>
      <c r="AL21" s="550"/>
      <c r="AM21" s="766">
        <f>IF(ISNUMBER(Datos!R21),Datos!R21," - ")</f>
        <v>2</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0</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616</v>
      </c>
      <c r="G23" s="1197">
        <f>SUBTOTAL(9,G16:G22)</f>
        <v>657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1520</v>
      </c>
      <c r="AC23" s="1198">
        <f t="shared" si="5"/>
        <v>56</v>
      </c>
      <c r="AD23" s="1198">
        <f t="shared" si="5"/>
        <v>0</v>
      </c>
      <c r="AE23" s="1198">
        <f t="shared" si="5"/>
        <v>0</v>
      </c>
      <c r="AF23" s="1198">
        <f t="shared" si="5"/>
        <v>603</v>
      </c>
      <c r="AG23" s="1198">
        <f t="shared" si="5"/>
        <v>0</v>
      </c>
      <c r="AH23" s="1198">
        <f t="shared" si="5"/>
        <v>0</v>
      </c>
      <c r="AI23" s="1198">
        <f t="shared" si="5"/>
        <v>0</v>
      </c>
      <c r="AJ23" s="1198">
        <f t="shared" si="5"/>
        <v>0</v>
      </c>
      <c r="AK23" s="1198">
        <f t="shared" si="5"/>
        <v>0</v>
      </c>
      <c r="AL23" s="1198">
        <f t="shared" si="5"/>
        <v>0</v>
      </c>
      <c r="AM23" s="1198">
        <f t="shared" si="5"/>
        <v>158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164</v>
      </c>
      <c r="BD23" s="1198">
        <f t="shared" si="5"/>
        <v>993</v>
      </c>
      <c r="BE23" s="1198">
        <f t="shared" si="5"/>
        <v>0</v>
      </c>
      <c r="BF23" s="1198">
        <f t="shared" si="5"/>
        <v>0</v>
      </c>
      <c r="BG23" s="1198">
        <f>IF(ISNUMBER(Datos!K23/Datos!J23),Datos!K23/Datos!J23," - ")</f>
        <v>1.0375426621160408</v>
      </c>
      <c r="BH23" s="1202">
        <f>IF(ISNUMBER(((Datos!L23/Datos!K23)*11)/factor_trimestre),((Datos!L23/Datos!K23)*11)/factor_trimestre," - ")</f>
        <v>1.1901315789473685</v>
      </c>
      <c r="BI23" s="1198">
        <f>SUBTOTAL(9,BI16:BI22)</f>
        <v>0.27625615763546796</v>
      </c>
      <c r="BJ23" s="1198">
        <f>SUBTOTAL(9,BJ16:BJ22)</f>
        <v>0</v>
      </c>
      <c r="BK23" s="1198">
        <f>SUBTOTAL(9,BK16:BK22)</f>
        <v>0</v>
      </c>
      <c r="BL23" s="1198">
        <f>IF(ISNUMBER((I23-AB23+L23)/(F23)),(I23-AB23+L23)/(F23)," - ")</f>
        <v>-2.4675324675324677</v>
      </c>
      <c r="BM23" s="1205">
        <f>IF(ISNUMBER((Datos!P23-Datos!Q23)/(Datos!R23-Datos!P23+Datos!Q23)),(Datos!P23-Datos!Q23)/(Datos!R23-Datos!P23+Datos!Q23)," - ")</f>
        <v>6.369426751592357E-3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641</v>
      </c>
      <c r="G31" s="1117">
        <f t="shared" si="18"/>
        <v>682</v>
      </c>
      <c r="H31" s="1119">
        <f t="shared" si="18"/>
        <v>0</v>
      </c>
      <c r="I31" s="1117">
        <f t="shared" si="18"/>
        <v>0</v>
      </c>
      <c r="J31" s="1119">
        <f t="shared" si="18"/>
        <v>0</v>
      </c>
      <c r="K31" s="1119">
        <f t="shared" si="18"/>
        <v>0</v>
      </c>
      <c r="L31" s="1180">
        <f t="shared" si="18"/>
        <v>0</v>
      </c>
      <c r="M31" s="1180">
        <f t="shared" si="18"/>
        <v>0</v>
      </c>
      <c r="N31" s="1180">
        <f t="shared" si="18"/>
        <v>60</v>
      </c>
      <c r="O31" s="1180">
        <f t="shared" si="18"/>
        <v>0</v>
      </c>
      <c r="P31" s="1180">
        <f t="shared" si="18"/>
        <v>0</v>
      </c>
      <c r="Q31" s="1119">
        <f t="shared" si="18"/>
        <v>368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1537</v>
      </c>
      <c r="AC31" s="1118">
        <f t="shared" si="19"/>
        <v>191</v>
      </c>
      <c r="AD31" s="1118">
        <f t="shared" si="19"/>
        <v>0</v>
      </c>
      <c r="AE31" s="1118">
        <f t="shared" si="19"/>
        <v>0</v>
      </c>
      <c r="AF31" s="1125">
        <f t="shared" si="19"/>
        <v>639</v>
      </c>
      <c r="AG31" s="1125">
        <f t="shared" si="19"/>
        <v>0</v>
      </c>
      <c r="AH31" s="1125">
        <f t="shared" si="19"/>
        <v>38</v>
      </c>
      <c r="AI31" s="1125">
        <f t="shared" si="19"/>
        <v>0</v>
      </c>
      <c r="AJ31" s="1118">
        <f t="shared" si="19"/>
        <v>0</v>
      </c>
      <c r="AK31" s="1125">
        <f t="shared" si="19"/>
        <v>0</v>
      </c>
      <c r="AL31" s="1125">
        <f t="shared" si="19"/>
        <v>0</v>
      </c>
      <c r="AM31" s="1125">
        <f t="shared" si="19"/>
        <v>4000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517</v>
      </c>
      <c r="BD31" s="1117">
        <f t="shared" si="19"/>
        <v>1286</v>
      </c>
      <c r="BE31" s="1117">
        <f t="shared" si="19"/>
        <v>0</v>
      </c>
      <c r="BF31" s="1127">
        <f t="shared" si="19"/>
        <v>0</v>
      </c>
      <c r="BG31" s="1223">
        <f>IF(ISNUMBER(Datos!K31/Datos!J31),Datos!K31/Datos!J31," - ")</f>
        <v>0.9828850855745721</v>
      </c>
      <c r="BH31" s="1223">
        <f>IF(ISNUMBER(((Datos!L31/Datos!K31)*11)/factor_trimestre),((Datos!L31/Datos!K31)*11)/factor_trimestre," - ")</f>
        <v>3.1156716417910446</v>
      </c>
      <c r="BI31" s="1103">
        <f>IF(ISNUMBER(Datos!J31/Datos!I31),Datos!J31/Datos!I31," - ")</f>
        <v>0.99352226720647774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-2.3978159126365055</v>
      </c>
      <c r="BM31" s="1188">
        <f>IF(ISNUMBER((Datos!P31-Datos!Q31+R31)/(Datos!R31-Datos!P31+Datos!Q31-R31)),(Datos!P31-Datos!Q31+R31)/(Datos!R31-Datos!P31+Datos!Q31-R31)," - ")</f>
        <v>4.6298718284070103E-2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170.5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2.5131234497501729</v>
      </c>
      <c r="F33" s="673">
        <f>IF(ISNUMBER(STDEV(F8:F30)),STDEV(F8:F30),"-")</f>
        <v>295.90901111176532</v>
      </c>
      <c r="G33" s="674">
        <f>IF(ISNUMBER(STDEV(G8:G30)),STDEV(G8:G30),"-")</f>
        <v>287.9300510292635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680.04133277743802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147.92180742240512</v>
      </c>
      <c r="BD33" s="673"/>
      <c r="BE33" s="673">
        <f>IF(ISNUMBER(STDEV(BE8:BE30)),STDEV(BE8:BE30),"-")</f>
        <v>0</v>
      </c>
      <c r="BF33" s="678">
        <f>IF(ISNUMBER(STDEV(BF8:BF30)),STDEV(BF8:BF30),"-")</f>
        <v>0</v>
      </c>
      <c r="BG33" s="1052">
        <f>IF(ISNUMBER(STDEV(BG8:BG30)),STDEV(BG8:BG30),"-")</f>
        <v>0.16896910434193604</v>
      </c>
      <c r="BH33" s="1058">
        <f>IF(ISNUMBER(STDEV(BH8:BH30)),STDEV(BH8:BH30),"-")</f>
        <v>2.5502210617914729</v>
      </c>
      <c r="BI33" s="273">
        <f>IF(ISNUMBER(STDEV(BI8:BI30)),STDEV(BI8:BI30),"-")</f>
        <v>0.10816417759567838</v>
      </c>
      <c r="BJ33" s="244" t="str">
        <f>IF(ISNUMBER(BL33/BM33),BL33/BM33," - ")</f>
        <v xml:space="preserve"> - </v>
      </c>
      <c r="BK33" s="709"/>
      <c r="BL33" s="681">
        <f>IF(ISNUMBER(STDEV(BL8:BL30)),STDEV(BL8:BL30),"-")</f>
        <v>1.2639763293833295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XxVZoaTYZakDiMNPq9m38espepL8XoEl2yzxhDZtN8IP3NO+Ks8WQQEoYfKWDBpdctZMMCEi4e96uJD0kMnkA==" saltValue="RJh1jlINT7+PcO9iOd3L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CEUTA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464</v>
      </c>
      <c r="B5" s="297"/>
      <c r="C5" s="1923" t="str">
        <f>"Año:  " &amp;Criterios!B$5 &amp; "          Trimestre   " &amp;Criterios!D$5 &amp; " al " &amp;Criterios!D$6</f>
        <v>Año:  2022          Trimestre   1 al 1</v>
      </c>
      <c r="D5" s="1925" t="s">
        <v>490</v>
      </c>
      <c r="E5" s="1882" t="s">
        <v>748</v>
      </c>
      <c r="F5" s="1893" t="s">
        <v>526</v>
      </c>
      <c r="G5" s="1882" t="s">
        <v>173</v>
      </c>
      <c r="H5" s="1882" t="s">
        <v>781</v>
      </c>
      <c r="I5" s="1882" t="s">
        <v>749</v>
      </c>
      <c r="J5" s="1882" t="s">
        <v>886</v>
      </c>
      <c r="K5" s="1882" t="s">
        <v>750</v>
      </c>
      <c r="L5" s="1882" t="s">
        <v>779</v>
      </c>
      <c r="M5" s="1882" t="s">
        <v>888</v>
      </c>
      <c r="N5" s="1882" t="s">
        <v>776</v>
      </c>
      <c r="O5" s="1882" t="s">
        <v>810</v>
      </c>
      <c r="P5" s="1888" t="s">
        <v>878</v>
      </c>
      <c r="Q5" s="1888" t="s">
        <v>881</v>
      </c>
      <c r="R5" s="1882" t="s">
        <v>785</v>
      </c>
      <c r="S5" s="1882" t="s">
        <v>751</v>
      </c>
      <c r="T5" s="1882" t="s">
        <v>1034</v>
      </c>
      <c r="U5" s="1882" t="s">
        <v>1035</v>
      </c>
      <c r="V5" s="1902" t="s">
        <v>869</v>
      </c>
      <c r="W5" s="1899" t="s">
        <v>765</v>
      </c>
      <c r="X5" s="1917" t="s">
        <v>766</v>
      </c>
      <c r="Y5" s="1920" t="s">
        <v>786</v>
      </c>
      <c r="Z5" s="1920" t="s">
        <v>811</v>
      </c>
      <c r="AA5" s="1882" t="s">
        <v>755</v>
      </c>
      <c r="AB5" s="1882" t="s">
        <v>767</v>
      </c>
      <c r="AC5" s="1882" t="s">
        <v>768</v>
      </c>
      <c r="AD5" s="1882" t="s">
        <v>708</v>
      </c>
      <c r="AE5" s="1882" t="s">
        <v>889</v>
      </c>
      <c r="AF5" s="1882" t="s">
        <v>243</v>
      </c>
      <c r="AG5" s="1882" t="s">
        <v>769</v>
      </c>
      <c r="AH5" s="1882" t="s">
        <v>756</v>
      </c>
      <c r="AI5" s="1882" t="s">
        <v>757</v>
      </c>
      <c r="AJ5" s="1882" t="s">
        <v>770</v>
      </c>
      <c r="AK5" s="1882" t="s">
        <v>771</v>
      </c>
      <c r="AL5" s="1882" t="s">
        <v>772</v>
      </c>
      <c r="AM5" s="1914" t="s">
        <v>773</v>
      </c>
      <c r="AN5" s="1882" t="s">
        <v>323</v>
      </c>
      <c r="AO5" s="1882" t="s">
        <v>759</v>
      </c>
      <c r="AP5" s="1882" t="s">
        <v>760</v>
      </c>
      <c r="AQ5" s="1882" t="s">
        <v>787</v>
      </c>
      <c r="AR5" s="1882" t="s">
        <v>788</v>
      </c>
      <c r="AS5" s="1882" t="s">
        <v>790</v>
      </c>
      <c r="AT5" s="1882" t="s">
        <v>783</v>
      </c>
      <c r="AU5" s="1882" t="s">
        <v>1111</v>
      </c>
      <c r="AV5" s="1882" t="s">
        <v>435</v>
      </c>
      <c r="AW5" s="1882" t="s">
        <v>774</v>
      </c>
      <c r="AX5" s="1882" t="s">
        <v>713</v>
      </c>
      <c r="BU5" s="1882" t="s">
        <v>1036</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0</v>
      </c>
      <c r="AA10" s="551">
        <f>IF(ISNUMBER(Datos!L10),Datos!L10,"-")</f>
        <v>36</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8</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6.3529411764705879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2.3333333333333335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320</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135</v>
      </c>
      <c r="AA12" s="551" t="str">
        <f>IF(ISNUMBER(IF(J_V="SI",Datos!L12,Datos!L12+Datos!AB12)-IF(Monitorios="SI",Datos!CD12,0)),
                          IF(J_V="SI",Datos!L12,Datos!L12+Datos!AB12)-IF(Monitorios="SI",Datos!CD12,0),
                          " - ")</f>
        <v xml:space="preserve"> - </v>
      </c>
      <c r="AB12" s="549"/>
      <c r="AC12" s="549"/>
      <c r="AD12" s="563"/>
      <c r="AE12" s="563">
        <f>IF(ISNUMBER(Datos!R12),Datos!R12," - ")</f>
        <v>3832</v>
      </c>
      <c r="AF12" s="693" t="str">
        <f>IF(ISNUMBER(Datos!BV12),Datos!BV12," - ")</f>
        <v xml:space="preserve"> - </v>
      </c>
      <c r="AG12" s="552" t="str">
        <f>IF(ISNUMBER(Datos!DV12),Datos!DV12," - ")</f>
        <v xml:space="preserve"> - </v>
      </c>
      <c r="AH12" s="553"/>
      <c r="AI12" s="554"/>
      <c r="AJ12" s="552">
        <f>IF(ISNUMBER(Datos!M12),Datos!M12," - ")</f>
        <v>345</v>
      </c>
      <c r="AK12" s="693">
        <f>IF(ISNUMBER(Datos!N12),Datos!N12," - ")</f>
        <v>287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5.7291875626880646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4.6137046137046139E-2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311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135</v>
      </c>
      <c r="AA14" s="1199">
        <f t="shared" si="3"/>
        <v>36</v>
      </c>
      <c r="AB14" s="1199">
        <f t="shared" si="3"/>
        <v>0</v>
      </c>
      <c r="AC14" s="1199">
        <f t="shared" si="3"/>
        <v>0</v>
      </c>
      <c r="AD14" s="1199">
        <f t="shared" si="3"/>
        <v>0</v>
      </c>
      <c r="AE14" s="1199">
        <f t="shared" si="3"/>
        <v>3842</v>
      </c>
      <c r="AF14" s="1211">
        <f t="shared" si="3"/>
        <v>0</v>
      </c>
      <c r="AG14" s="1211">
        <f t="shared" si="3"/>
        <v>0</v>
      </c>
      <c r="AH14" s="1211">
        <f t="shared" si="3"/>
        <v>0</v>
      </c>
      <c r="AI14" s="1211">
        <f t="shared" si="3"/>
        <v>0</v>
      </c>
      <c r="AJ14" s="1211">
        <f t="shared" si="3"/>
        <v>353</v>
      </c>
      <c r="AK14" s="1211">
        <f t="shared" si="3"/>
        <v>293</v>
      </c>
      <c r="AL14" s="1211">
        <f t="shared" si="3"/>
        <v>0</v>
      </c>
      <c r="AM14" s="1211">
        <f t="shared" si="3"/>
        <v>0</v>
      </c>
      <c r="AN14" s="1211">
        <f t="shared" si="3"/>
        <v>0</v>
      </c>
      <c r="AO14" s="1203">
        <f>IF(ISNUMBER(((NºAsuntos!I14/NºAsuntos!G14)*11)/factor_trimestre),((NºAsuntos!I14/NºAsuntos!G14)*11)/factor_trimestre," - ")</f>
        <v>5.7396449704142016</v>
      </c>
      <c r="AP14" s="1213" t="str">
        <f>IF(ISNUMBER(Datos!CI14/Datos!CJ14),Datos!CI14/Datos!CJ14," - ")</f>
        <v xml:space="preserve"> - </v>
      </c>
      <c r="AQ14" s="1236">
        <f t="shared" ref="AQ14:AV14" si="4">SUBTOTAL(9,AQ9:AQ13)</f>
        <v>0</v>
      </c>
      <c r="AR14" s="1236">
        <f t="shared" si="4"/>
        <v>2.3794703794703795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510</v>
      </c>
      <c r="C17" s="765" t="str">
        <f>Datos!A17</f>
        <v xml:space="preserve">Jdos. 1ª Instª. e Instr.                        </v>
      </c>
      <c r="D17" s="593"/>
      <c r="E17" s="1558">
        <f>IF(ISNUMBER(Datos!AQ17),Datos!AQ17," - ")</f>
        <v>6</v>
      </c>
      <c r="F17" s="543">
        <f>IF(ISNUMBER(AA17+Y17-Datos!J17-K16),AA17+Y17-Datos!J17-K16," - ")</f>
        <v>616</v>
      </c>
      <c r="G17" s="552">
        <f>IF(ISNUMBER(IF(D_I="SI",Datos!I17,Datos!I17+Datos!AC17)),IF(D_I="SI",Datos!I17,Datos!I17+Datos!AC17)," - ")</f>
        <v>615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1450</v>
      </c>
      <c r="Z17" s="805">
        <f>IF(ISNUMBER(Datos!Q17),Datos!Q17," - ")</f>
        <v>55</v>
      </c>
      <c r="AA17" s="551">
        <f>IF(ISNUMBER(IF(D_I="SI",Datos!L17,Datos!L17+Datos!AF17)),IF(D_I="SI",Datos!L17,Datos!L17+Datos!AF17)," - ")</f>
        <v>544</v>
      </c>
      <c r="AB17" s="549"/>
      <c r="AC17" s="549"/>
      <c r="AD17" s="563"/>
      <c r="AE17" s="563">
        <f>IF(ISNUMBER(Datos!R17),Datos!R17," - ")</f>
        <v>153</v>
      </c>
      <c r="AF17" s="693" t="str">
        <f>IF(ISNUMBER(Datos!BV17),Datos!BV17," - ")</f>
        <v xml:space="preserve"> - </v>
      </c>
      <c r="AG17" s="552"/>
      <c r="AH17" s="553"/>
      <c r="AI17" s="554"/>
      <c r="AJ17" s="552">
        <f>IF(ISNUMBER(Datos!M17),Datos!M17," - ")</f>
        <v>152</v>
      </c>
      <c r="AK17" s="693">
        <f>IF(ISNUMBER(Datos!N17),Datos!N17," - ")</f>
        <v>963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1.1255172413793104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70</v>
      </c>
      <c r="Z18" s="805">
        <f>IF(ISNUMBER(Datos!Q18),Datos!Q18," - ")</f>
        <v>1</v>
      </c>
      <c r="AA18" s="551">
        <f>IF(ISNUMBER(Datos!L18),Datos!L18,"-")</f>
        <v>59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12</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2.5285714285714289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1</v>
      </c>
      <c r="B21" s="746" t="s">
        <v>510</v>
      </c>
      <c r="C21" s="747" t="str">
        <f>Datos!A21</f>
        <v xml:space="preserve">Jdos. de lo Penal                               </v>
      </c>
      <c r="D21" s="601"/>
      <c r="E21" s="1558">
        <f>IF(ISNUMBER(Datos!AQ21),Datos!AQ21," - ")</f>
        <v>0</v>
      </c>
      <c r="F21" s="552">
        <f>IF(ISNUMBER(Datos!L21+Datos!K21-Datos!J21),Datos!L21+Datos!K21-Datos!J21," - ")</f>
        <v>0</v>
      </c>
      <c r="G21" s="552">
        <f>IF(ISNUMBER(Datos!I21),Datos!I21," - ")</f>
        <v>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0</v>
      </c>
      <c r="Z21" s="805">
        <f>IF(ISNUMBER(Datos!Q21),Datos!Q21," - ")</f>
        <v>0</v>
      </c>
      <c r="AA21" s="551">
        <f>IF(ISNUMBER(Datos!L21),Datos!L21,"-")</f>
        <v>0</v>
      </c>
      <c r="AB21" s="549"/>
      <c r="AC21" s="549"/>
      <c r="AD21" s="563"/>
      <c r="AE21" s="563">
        <f>IF(ISNUMBER(Datos!R21),Datos!R21," - ")</f>
        <v>2</v>
      </c>
      <c r="AF21" s="693" t="str">
        <f>IF(ISNUMBER(Datos!BV21),Datos!BV21," - ")</f>
        <v xml:space="preserve"> - </v>
      </c>
      <c r="AG21" s="552"/>
      <c r="AH21" s="553"/>
      <c r="AI21" s="554"/>
      <c r="AJ21" s="552">
        <f>IF(ISNUMBER(Datos!M21),Datos!M21," - ")</f>
        <v>0</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616</v>
      </c>
      <c r="G23" s="1197">
        <f>SUBTOTAL(9,G16:G22)</f>
        <v>657</v>
      </c>
      <c r="H23" s="1240">
        <f>SUBTOTAL(9,H16:H22)</f>
        <v>0</v>
      </c>
      <c r="I23" s="1217">
        <f>SUBTOTAL(9,I16:I22)</f>
        <v>0</v>
      </c>
      <c r="J23" s="1164">
        <f>SUBTOTAL(9,J15:J22)</f>
        <v>0</v>
      </c>
      <c r="K23" s="1240">
        <f t="shared" ref="K23:S23" si="5">SUBTOTAL(9,K16:K22)</f>
        <v>0</v>
      </c>
      <c r="L23" s="1240">
        <f t="shared" si="5"/>
        <v>0</v>
      </c>
      <c r="M23" s="1240">
        <f t="shared" si="5"/>
        <v>0</v>
      </c>
      <c r="N23" s="1240">
        <f t="shared" si="5"/>
        <v>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1520</v>
      </c>
      <c r="Z23" s="1240">
        <f t="shared" si="6"/>
        <v>56</v>
      </c>
      <c r="AA23" s="1240">
        <f t="shared" si="6"/>
        <v>603</v>
      </c>
      <c r="AB23" s="1240">
        <f t="shared" si="6"/>
        <v>0</v>
      </c>
      <c r="AC23" s="1240">
        <f t="shared" si="6"/>
        <v>0</v>
      </c>
      <c r="AD23" s="1240">
        <f t="shared" si="6"/>
        <v>0</v>
      </c>
      <c r="AE23" s="1240">
        <f t="shared" si="6"/>
        <v>158</v>
      </c>
      <c r="AF23" s="1240">
        <f t="shared" si="6"/>
        <v>0</v>
      </c>
      <c r="AG23" s="1240">
        <f t="shared" si="6"/>
        <v>0</v>
      </c>
      <c r="AH23" s="1240">
        <f t="shared" si="6"/>
        <v>0</v>
      </c>
      <c r="AI23" s="1240">
        <f t="shared" si="6"/>
        <v>0</v>
      </c>
      <c r="AJ23" s="1240">
        <f t="shared" si="6"/>
        <v>164</v>
      </c>
      <c r="AK23" s="1240">
        <f t="shared" si="6"/>
        <v>993</v>
      </c>
      <c r="AL23" s="1240">
        <f t="shared" si="6"/>
        <v>0</v>
      </c>
      <c r="AM23" s="1240">
        <f t="shared" si="6"/>
        <v>0</v>
      </c>
      <c r="AN23" s="1240">
        <f t="shared" si="6"/>
        <v>0</v>
      </c>
      <c r="AO23" s="1242">
        <f>IF(ISNUMBER(((NºAsuntos!I23/NºAsuntos!G23)*11)/factor_trimestre),((NºAsuntos!I23/NºAsuntos!G23)*11)/factor_trimestre," - ")</f>
        <v>1.1901315789473685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641</v>
      </c>
      <c r="G31" s="1117">
        <f t="shared" si="12"/>
        <v>682</v>
      </c>
      <c r="H31" s="1118">
        <f t="shared" si="12"/>
        <v>0</v>
      </c>
      <c r="I31" s="1117">
        <f t="shared" si="12"/>
        <v>0</v>
      </c>
      <c r="J31" s="1119">
        <f t="shared" si="12"/>
        <v>0</v>
      </c>
      <c r="K31" s="1117">
        <f t="shared" si="12"/>
        <v>0</v>
      </c>
      <c r="L31" s="1120">
        <f t="shared" si="12"/>
        <v>0</v>
      </c>
      <c r="M31" s="1117">
        <f t="shared" si="12"/>
        <v>0</v>
      </c>
      <c r="N31" s="1118">
        <f t="shared" si="12"/>
        <v>368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1537</v>
      </c>
      <c r="Z31" s="1124">
        <f t="shared" si="13"/>
        <v>191</v>
      </c>
      <c r="AA31" s="1125">
        <f t="shared" si="13"/>
        <v>639</v>
      </c>
      <c r="AB31" s="1125">
        <f t="shared" si="13"/>
        <v>0</v>
      </c>
      <c r="AC31" s="1125">
        <f t="shared" si="13"/>
        <v>0</v>
      </c>
      <c r="AD31" s="1126">
        <f t="shared" si="13"/>
        <v>0</v>
      </c>
      <c r="AE31" s="1126">
        <f t="shared" si="13"/>
        <v>4000</v>
      </c>
      <c r="AF31" s="1127">
        <f t="shared" si="13"/>
        <v>0</v>
      </c>
      <c r="AG31" s="1128">
        <f t="shared" si="13"/>
        <v>0</v>
      </c>
      <c r="AH31" s="1129">
        <f t="shared" si="13"/>
        <v>0</v>
      </c>
      <c r="AI31" s="1127">
        <f t="shared" si="13"/>
        <v>0</v>
      </c>
      <c r="AJ31" s="1117">
        <f t="shared" si="13"/>
        <v>517</v>
      </c>
      <c r="AK31" s="1117">
        <f t="shared" si="13"/>
        <v>1286</v>
      </c>
      <c r="AL31" s="1117">
        <f t="shared" si="13"/>
        <v>0</v>
      </c>
      <c r="AM31" s="1130">
        <f t="shared" si="13"/>
        <v>0</v>
      </c>
      <c r="AN31" s="1120">
        <f>IF(ISNUMBER(Datos!K31/Datos!J31),Datos!K31/Datos!J31," - ")</f>
        <v>0.9828850855745721</v>
      </c>
      <c r="AO31" s="1120">
        <f>IF(ISNUMBER(FIND("06",Criterios!A8,1)),(IF(ISNUMBER(((Datos!R31/Datos!Q31)*11)/factor_trimestre),((Datos!R31/Datos!Q31)*11)/factor_trimestre," - ")),(IF(ISNUMBER(((Datos!L31/Datos!K31)*11)/factor_trimestre),((Datos!L31/Datos!K31)*11)/factor_trimestre," - ")))</f>
        <v>3.1156716417910446</v>
      </c>
      <c r="AP31" s="1131" t="str">
        <f>IF(ISNUMBER(Datos!CI31/Datos!CJ31),Datos!CI31/Datos!CJ31," - ")</f>
        <v xml:space="preserve"> - </v>
      </c>
      <c r="AQ31" s="1131">
        <f>IF(OR(ISNUMBER(FIND("01",Criterios!A8,1)),ISNUMBER(FIND("02",Criterios!A8,1)),ISNUMBER(FIND("03",Criterios!A8,1)),ISNUMBER(FIND("04",Criterios!A8,1))),(J31-Y31+K31)/(F31-K31),(I31-Y31+K31)/(F31-K31))</f>
        <v>-2.3978159126365055</v>
      </c>
      <c r="AR31" s="1131">
        <f>IF(ISNUMBER((Datos!P31-Datos!Q31+O31)/(Datos!R31-Datos!P31+Datos!Q31-O31)),(Datos!P31-Datos!Q31+O31)/(Datos!R31-Datos!P31+Datos!Q31-O31)," - ")</f>
        <v>4.6298718284070103E-2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170.5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295.90901111176532</v>
      </c>
      <c r="G33" s="674">
        <f>IF(ISNUMBER(STDEV(G8:G30)),STDEV(G8:G30),"-")</f>
        <v>287.9300510292635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147.92180742240512</v>
      </c>
      <c r="AK33" s="276"/>
      <c r="AL33" s="276">
        <f>IF(ISNUMBER(STDEV(AL8:AL30)),STDEV(AL8:AL30),"-")</f>
        <v>0</v>
      </c>
      <c r="AM33" s="278">
        <f>IF(ISNUMBER(STDEV(AM8:AM30)),STDEV(AM8:AM30),"-")</f>
        <v>0</v>
      </c>
      <c r="AN33" s="660">
        <f>IF(ISNUMBER(STDEV(AN8:AN30)),STDEV(AN8:AN30),"-")</f>
        <v>0</v>
      </c>
      <c r="AO33" s="661">
        <f>IF(ISNUMBER(STDEV(AO8:AO30)),STDEV(AO8:AO30),"-")</f>
        <v>2.4322542955409392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vY5PbmPkQKdytc8KOahDotjV/D4v4TeVHN1zQpmEQfkMhRGejh3pnm5P8RG/fPGN6USQSj33NRAyImzGg6yDA==" saltValue="8wXoiFZm9vsgQ4qb3lgz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J0cd2OVBzoIW8qgfuTy82vWtk7D9G/Cuk61Hjau4EDtJrfQqjGPKPEhmhpkHdJxVS6QB68y8JxWjBS/U+fh0Wg==" saltValue="f0TGvEYe6mT8fObulxgo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349</v>
      </c>
      <c r="CF4" s="1829"/>
      <c r="CG4" s="1829"/>
      <c r="CH4" s="1830"/>
    </row>
    <row r="5" spans="1:155" ht="12.75" customHeight="1" thickBot="1">
      <c r="A5" s="1798" t="str">
        <f>"Año:  " &amp;Criterios!B5 &amp; "                  Trimestre   " &amp;Criterios!D5 &amp; " al " &amp;Criterios!D6</f>
        <v>Año:  2022                  Trimestre   1 al 1</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t="s">
        <v>262</v>
      </c>
      <c r="BO5" s="1687"/>
      <c r="BP5" s="1686" t="s">
        <v>263</v>
      </c>
      <c r="BQ5" s="1687"/>
      <c r="BR5" s="1686" t="s">
        <v>264</v>
      </c>
      <c r="BS5" s="1687"/>
      <c r="BT5" s="1686" t="s">
        <v>265</v>
      </c>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1006</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lKL1CWhES41WrwfwuRPKKOBxJMP3tM4cRu4Fil9zKffH8AaUI5tKqTcOUiZCgIAsOW2ZCQhBFeFb3Umle0UGw==" saltValue="O/l43hxYS0O2zPk/31Oz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CEUTA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464</v>
      </c>
      <c r="B5" s="297"/>
      <c r="C5" s="1646" t="str">
        <f>"Año:  " &amp;Criterios!B$5 &amp; "          Trimestre   " &amp;Criterios!D$5 &amp; " al " &amp;Criterios!D$6</f>
        <v>Año:  2022          Trimestre   1 al 1</v>
      </c>
      <c r="D5" s="1882" t="s">
        <v>490</v>
      </c>
      <c r="E5" s="1882" t="s">
        <v>748</v>
      </c>
      <c r="F5" s="1893" t="s">
        <v>526</v>
      </c>
      <c r="G5" s="1882" t="s">
        <v>173</v>
      </c>
      <c r="H5" s="1882" t="s">
        <v>781</v>
      </c>
      <c r="I5" s="1882" t="s">
        <v>749</v>
      </c>
      <c r="J5" s="1882" t="s">
        <v>866</v>
      </c>
      <c r="K5" s="1882" t="s">
        <v>750</v>
      </c>
      <c r="L5" s="1882" t="s">
        <v>705</v>
      </c>
      <c r="M5" s="1885" t="s">
        <v>779</v>
      </c>
      <c r="N5" s="1882" t="s">
        <v>923</v>
      </c>
      <c r="O5" s="1882" t="s">
        <v>882</v>
      </c>
      <c r="P5" s="1882" t="s">
        <v>229</v>
      </c>
      <c r="Q5" s="1888" t="s">
        <v>878</v>
      </c>
      <c r="R5" s="1888" t="s">
        <v>924</v>
      </c>
      <c r="S5" s="1882" t="s">
        <v>782</v>
      </c>
      <c r="T5" s="1888" t="s">
        <v>751</v>
      </c>
      <c r="U5" s="1888" t="s">
        <v>1034</v>
      </c>
      <c r="V5" s="1888" t="s">
        <v>1035</v>
      </c>
      <c r="W5" s="1899" t="s">
        <v>807</v>
      </c>
      <c r="X5" s="1917" t="s">
        <v>752</v>
      </c>
      <c r="Y5" s="1899" t="s">
        <v>753</v>
      </c>
      <c r="Z5" s="1899" t="s">
        <v>754</v>
      </c>
      <c r="AA5" s="1882" t="s">
        <v>883</v>
      </c>
      <c r="AB5" s="1882" t="s">
        <v>889</v>
      </c>
      <c r="AC5" s="1882" t="s">
        <v>243</v>
      </c>
      <c r="AD5" s="1905" t="s">
        <v>241</v>
      </c>
      <c r="AE5" s="1882" t="s">
        <v>884</v>
      </c>
      <c r="AF5" s="1908" t="s">
        <v>885</v>
      </c>
      <c r="AG5" s="1911" t="s">
        <v>714</v>
      </c>
      <c r="AH5" s="1882" t="s">
        <v>715</v>
      </c>
      <c r="AI5" s="1882" t="s">
        <v>805</v>
      </c>
      <c r="AJ5" s="1914" t="s">
        <v>806</v>
      </c>
      <c r="AK5" s="1911" t="s">
        <v>244</v>
      </c>
      <c r="AL5" s="1882" t="s">
        <v>758</v>
      </c>
      <c r="AM5" s="1882" t="s">
        <v>321</v>
      </c>
      <c r="AN5" s="1882" t="s">
        <v>322</v>
      </c>
      <c r="AO5" s="1882" t="s">
        <v>323</v>
      </c>
      <c r="AP5" s="1882" t="s">
        <v>759</v>
      </c>
      <c r="AQ5" s="1882" t="s">
        <v>324</v>
      </c>
      <c r="AR5" s="1882" t="s">
        <v>760</v>
      </c>
      <c r="AS5" s="1882" t="s">
        <v>761</v>
      </c>
      <c r="AT5" s="1882" t="s">
        <v>762</v>
      </c>
      <c r="AU5" s="1882" t="s">
        <v>790</v>
      </c>
      <c r="AV5" s="1882" t="s">
        <v>783</v>
      </c>
      <c r="AW5" s="1882" t="s">
        <v>1111</v>
      </c>
      <c r="AX5" s="1882" t="s">
        <v>1115</v>
      </c>
      <c r="AY5" s="1882" t="s">
        <v>1117</v>
      </c>
      <c r="AZ5" s="1882" t="s">
        <v>784</v>
      </c>
      <c r="BA5" s="1882" t="s">
        <v>1159</v>
      </c>
      <c r="BB5" s="1882" t="s">
        <v>763</v>
      </c>
      <c r="BC5" s="1882" t="s">
        <v>713</v>
      </c>
      <c r="BW5" s="1882" t="s">
        <v>1036</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0.34812623274161736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0.24616241988052395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Hxm+KyRLbGeAn5jOuth0T6+KCREiNP++kxcxkLpNrLo8wjV9n3V3K2KrwbjEIxhClEMA5SIMZhAe+pYZVDK3g==" saltValue="ljuFGonGkB43Ba4oOO/S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uzpxHcn3E3gj/4HTYyUpc2aUhnlocnUcbHE3PWyHrntOuvFWUB8KaJZAvZWSh+bi1Vd7daS2e1TGTHzShHIBuQ==" saltValue="PEA2REGZOpJRbeaMLrGe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CEUTA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995</v>
      </c>
      <c r="L5" s="1572" t="s">
        <v>1058</v>
      </c>
      <c r="M5" s="1572" t="s">
        <v>1147</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28</v>
      </c>
      <c r="F10" s="452">
        <f>IF(ISNUMBER(E10/B10),E10/B10," - ")</f>
        <v>28</v>
      </c>
      <c r="G10" s="451">
        <f>IF(ISNUMBER(Datos!K10),Datos!K10," - ")</f>
        <v>17</v>
      </c>
      <c r="H10" s="452">
        <f>IF(ISNUMBER(G10/B10),G10/B10," - ")</f>
        <v>17</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1960</v>
      </c>
      <c r="D12" s="452">
        <f>IF(ISNUMBER(C12/Datos!BH12),C12/Datos!BH12," - ")</f>
        <v>326.66666666666669</v>
      </c>
      <c r="E12" s="451">
        <f>IF(ISNUMBER(IF(J_V="SI",Datos!J12,Datos!J12+Datos!Z12)),IF(J_V="SI",Datos!J12,Datos!J12+Datos!Z12)," - ")</f>
        <v>1021</v>
      </c>
      <c r="F12" s="452">
        <f>IF(ISNUMBER(E12/B12),E12/B12," - ")</f>
        <v>170.16666666666666</v>
      </c>
      <c r="G12" s="451">
        <f>IF(ISNUMBER(IF(J_V="SI",Datos!K12,Datos!K12+Datos!AA12)),IF(J_V="SI",Datos!K12,Datos!K12+Datos!AA12)," - ")</f>
        <v>997</v>
      </c>
      <c r="H12" s="452">
        <f>IF(ISNUMBER(G12/B12),G12/B12," - ")</f>
        <v>166.16666666666666</v>
      </c>
      <c r="I12" s="451">
        <f>IF(ISNUMBER(IF(J_V="SI",Datos!L12,Datos!L12+Datos!AB12)),IF(J_V="SI",Datos!L12,Datos!L12+Datos!AB12)," - ")</f>
        <v>1904</v>
      </c>
      <c r="J12" s="452">
        <f>IF(ISNUMBER(I12/B12),I12/B12," - ")</f>
        <v>317.33333333333331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1985</v>
      </c>
      <c r="D14" s="1147" t="str">
        <f>IF(ISNUMBER(C14/Datos!BI14),C14/Datos!BI14," - ")</f>
        <v xml:space="preserve"> - </v>
      </c>
      <c r="E14" s="1146">
        <f>SUBTOTAL(9,E8:E13)</f>
        <v>1049</v>
      </c>
      <c r="F14" s="1147">
        <f>IF(ISNUMBER(E14/B14),E14/B14," - ")</f>
        <v>174.83333333333334</v>
      </c>
      <c r="G14" s="1146">
        <f>SUBTOTAL(9,G8:G13)</f>
        <v>1014</v>
      </c>
      <c r="H14" s="1147">
        <f>IF(ISNUMBER(G14/B14),G14/B14," - ")</f>
        <v>169</v>
      </c>
      <c r="I14" s="1146">
        <f>SUBTOTAL(9,I8:I13)</f>
        <v>1940</v>
      </c>
      <c r="J14" s="1147">
        <f>IF(ISNUMBER(I14/B14),I14/B14," - ")</f>
        <v>323.33333333333331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615</v>
      </c>
      <c r="D17" s="452">
        <f>IF(ISNUMBER(C17/Datos!BH17),C17/Datos!BH17," - ")</f>
        <v>102.5</v>
      </c>
      <c r="E17" s="451">
        <f>IF(ISNUMBER(IF(D_I="SI",Datos!J17,Datos!J17+Datos!AD17)),IF(D_I="SI",Datos!J17,Datos!J17+Datos!AD17)," - ")</f>
        <v>1378</v>
      </c>
      <c r="F17" s="452">
        <f>IF(ISNUMBER(E17/B17),E17/B17," - ")</f>
        <v>229.66666666666666</v>
      </c>
      <c r="G17" s="451">
        <f>IF(ISNUMBER(IF(D_I="SI",Datos!K17,Datos!K17+Datos!AE17)),IF(D_I="SI",Datos!K17,Datos!K17+Datos!AE17)," - ")</f>
        <v>1450</v>
      </c>
      <c r="H17" s="452">
        <f>IF(ISNUMBER(G17/B17),G17/B17," - ")</f>
        <v>241.66666666666666</v>
      </c>
      <c r="I17" s="451">
        <f>IF(ISNUMBER(IF(D_I="SI",Datos!L17,Datos!L17+Datos!AF17)),IF(D_I="SI",Datos!L17,Datos!L17+Datos!AF17)," - ")</f>
        <v>544</v>
      </c>
      <c r="J17" s="452">
        <f>IF(ISNUMBER(I17/B17),I17/B17," - ")</f>
        <v>90.666666666666671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v>
      </c>
      <c r="D18" s="452">
        <f>IF(ISNUMBER(C18/Datos!BH18),C18/Datos!BH18," - ")</f>
        <v>42</v>
      </c>
      <c r="E18" s="451">
        <f>IF(ISNUMBER(IF(D_I="SI",Datos!J18,Datos!J18+Datos!AD18)),IF(D_I="SI",Datos!J18,Datos!J18+Datos!AD18)," - ")</f>
        <v>87</v>
      </c>
      <c r="F18" s="452">
        <f>IF(ISNUMBER(E18/B18),E18/B18," - ")</f>
        <v>87</v>
      </c>
      <c r="G18" s="451">
        <f>IF(ISNUMBER(IF(D_I="SI",Datos!K18,Datos!K18+Datos!AE18)),IF(D_I="SI",Datos!K18,Datos!K18+Datos!AE18)," - ")</f>
        <v>70</v>
      </c>
      <c r="H18" s="452">
        <f>IF(ISNUMBER(G18/B18),G18/B18," - ")</f>
        <v>70</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0</v>
      </c>
      <c r="D21" s="452">
        <f>IF(ISNUMBER(C21/Datos!BH21),C21/Datos!BH21," - ")</f>
        <v>0</v>
      </c>
      <c r="E21" s="451">
        <f>IF(ISNUMBER(Datos!J21),Datos!J21," - ")</f>
        <v>0</v>
      </c>
      <c r="F21" s="452">
        <f>IF(ISNUMBER(E21/B21),E21/B21," - ")</f>
        <v>0</v>
      </c>
      <c r="G21" s="451">
        <f>IF(ISNUMBER(Datos!K21),Datos!K21," - ")</f>
        <v>0</v>
      </c>
      <c r="H21" s="452">
        <f>IF(ISNUMBER(G21/B21),G21/B21," - ")</f>
        <v>0</v>
      </c>
      <c r="I21" s="451">
        <f>IF(ISNUMBER(Datos!L21),Datos!L21," - ")</f>
        <v>0</v>
      </c>
      <c r="J21" s="452">
        <f>IF(ISNUMBER(I21/B21),I21/B21," - ")</f>
        <v>0</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657</v>
      </c>
      <c r="D23" s="1147" t="str">
        <f>IF(ISNUMBER(C23/Datos!BI23),C23/Datos!BI23," - ")</f>
        <v xml:space="preserve"> - </v>
      </c>
      <c r="E23" s="1146">
        <f>SUBTOTAL(9,E15:E22)</f>
        <v>1465</v>
      </c>
      <c r="F23" s="1147">
        <f>IF(ISNUMBER(E23/B23),E23/B23," - ")</f>
        <v>244.16666666666666</v>
      </c>
      <c r="G23" s="1146">
        <f>SUBTOTAL(9,G15:G22)</f>
        <v>1520</v>
      </c>
      <c r="H23" s="1147">
        <f>IF(ISNUMBER(G23/B23),G23/B23," - ")</f>
        <v>253.33333333333334</v>
      </c>
      <c r="I23" s="1146">
        <f>SUBTOTAL(9,I15:I22)</f>
        <v>603</v>
      </c>
      <c r="J23" s="1147">
        <f>IF(ISNUMBER(I23/B23),I23/B23," - ")</f>
        <v>100.5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2642</v>
      </c>
      <c r="D31" s="1085" t="str">
        <f>IF(ISNUMBER(C31/Datos!BI31),C31/Datos!BI31," - ")</f>
        <v xml:space="preserve"> - </v>
      </c>
      <c r="E31" s="1084">
        <f>SUBTOTAL(9,E9:E30)</f>
        <v>2514</v>
      </c>
      <c r="F31" s="1085">
        <f>IF(ISNUMBER(E31/B31),E31/B31," - ")</f>
        <v>419</v>
      </c>
      <c r="G31" s="1084">
        <f>SUBTOTAL(9,G9:G30)</f>
        <v>2534</v>
      </c>
      <c r="H31" s="1085">
        <f>IF(ISNUMBER(G31/B31),G31/B31," - ")</f>
        <v>422.33333333333331</v>
      </c>
      <c r="I31" s="1084">
        <f>SUBTOTAL(9,I9:I30)</f>
        <v>2543</v>
      </c>
      <c r="J31" s="1085">
        <f>IF(ISNUMBER(I31/B31),I31/B31," - ")</f>
        <v>423.83333333333331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LDxSHNwskb62V2F4a5qNS1aZdsNOeeKKMXvblcLYFmmah8mmHWgHliqEN5dBLD73xUWcyXS4gqzE6EeAfwTxQ==" saltValue="FUDUKQyyrCPa779VgrcVx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CEUTA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464</v>
      </c>
      <c r="B5" s="297"/>
      <c r="C5" s="1646" t="str">
        <f>"Año:  " &amp;Criterios!B$5 &amp; "          Trimestre   " &amp;Criterios!D$5 &amp; " al " &amp;Criterios!D$6</f>
        <v>Año:  2022          Trimestre   1 al 1</v>
      </c>
      <c r="D5" s="1882" t="s">
        <v>545</v>
      </c>
      <c r="E5" s="1882" t="s">
        <v>748</v>
      </c>
      <c r="F5" s="1893" t="s">
        <v>526</v>
      </c>
      <c r="G5" s="1882" t="s">
        <v>173</v>
      </c>
      <c r="H5" s="1882" t="s">
        <v>897</v>
      </c>
      <c r="I5" s="1882" t="s">
        <v>898</v>
      </c>
      <c r="J5" s="1882" t="s">
        <v>901</v>
      </c>
      <c r="K5" s="1882" t="s">
        <v>902</v>
      </c>
      <c r="L5" s="1882" t="s">
        <v>779</v>
      </c>
      <c r="M5" s="1882" t="s">
        <v>923</v>
      </c>
      <c r="N5" s="1882" t="s">
        <v>903</v>
      </c>
      <c r="O5" s="1882" t="s">
        <v>899</v>
      </c>
      <c r="P5" s="1882" t="s">
        <v>229</v>
      </c>
      <c r="Q5" s="1882" t="s">
        <v>878</v>
      </c>
      <c r="R5" s="1882" t="s">
        <v>924</v>
      </c>
      <c r="S5" s="1882" t="str">
        <f>"Ingreso Computable 2003" &amp; IF(OR(EXACT(LEFT(boletin,2),"04"),EXACT(LEFT(boletin,2),"14"),EXACT(LEFT(boletin,2),"17"))," (Civil + Penal)","")</f>
        <v>Ingreso Computable 2003</v>
      </c>
      <c r="T5" s="1882" t="s">
        <v>900</v>
      </c>
      <c r="U5" s="1888" t="str">
        <f>"% Ingreso Computable 2003" &amp; IF(OR(EXACT(LEFT(boletin,2),"04"),EXACT(LEFT(boletin,2),"14"),EXACT(LEFT(boletin,2),"17"))," (Civil + Penal)","")</f>
        <v>% Ingreso Computable 2003</v>
      </c>
      <c r="V5" s="1888" t="s">
        <v>904</v>
      </c>
      <c r="W5" s="1882" t="s">
        <v>1028</v>
      </c>
      <c r="X5" s="1882" t="s">
        <v>1029</v>
      </c>
      <c r="Y5" s="1902" t="s">
        <v>869</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905</v>
      </c>
      <c r="AC5" s="1939" t="s">
        <v>906</v>
      </c>
      <c r="AD5" s="1939" t="s">
        <v>907</v>
      </c>
      <c r="AE5" s="1939" t="s">
        <v>908</v>
      </c>
      <c r="AF5" s="1882" t="s">
        <v>909</v>
      </c>
      <c r="AG5" s="1882" t="s">
        <v>910</v>
      </c>
      <c r="AH5" s="1882" t="s">
        <v>911</v>
      </c>
      <c r="AI5" s="1882" t="s">
        <v>912</v>
      </c>
      <c r="AJ5" s="1882" t="s">
        <v>243</v>
      </c>
      <c r="AK5" s="1911" t="s">
        <v>714</v>
      </c>
      <c r="AL5" s="1911" t="s">
        <v>244</v>
      </c>
      <c r="AM5" s="1882" t="s">
        <v>758</v>
      </c>
      <c r="AN5" s="1882" t="s">
        <v>321</v>
      </c>
      <c r="AO5" s="1882" t="s">
        <v>322</v>
      </c>
      <c r="AP5" s="1882" t="s">
        <v>913</v>
      </c>
      <c r="AQ5" s="1882" t="s">
        <v>914</v>
      </c>
      <c r="AR5" s="1882" t="s">
        <v>915</v>
      </c>
      <c r="AS5" s="1882" t="s">
        <v>916</v>
      </c>
      <c r="AT5" s="1882" t="s">
        <v>917</v>
      </c>
      <c r="AU5" s="1882" t="s">
        <v>918</v>
      </c>
      <c r="AV5" s="1882" t="s">
        <v>919</v>
      </c>
      <c r="AW5" s="1882" t="s">
        <v>920</v>
      </c>
      <c r="AX5" s="1882" t="s">
        <v>1111</v>
      </c>
      <c r="AY5" s="1882" t="s">
        <v>1115</v>
      </c>
      <c r="AZ5" s="1882" t="s">
        <v>921</v>
      </c>
      <c r="BA5" s="1882" t="s">
        <v>922</v>
      </c>
      <c r="BB5" s="1882" t="s">
        <v>713</v>
      </c>
      <c r="BC5" s="1708" t="s">
        <v>929</v>
      </c>
      <c r="BD5" s="1708" t="s">
        <v>930</v>
      </c>
      <c r="BE5" s="1893" t="s">
        <v>931</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6.3529411764705879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320</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345</v>
      </c>
      <c r="AM12" s="914">
        <f>IF(ISNUMBER(Datos!N12+DatosP!N17),Datos!N12+DatosP!N17," - ")</f>
        <v>287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5.7291875626880646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4.6137046137046139E-2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311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135</v>
      </c>
      <c r="AE14" s="1257">
        <f t="shared" si="1"/>
        <v>0</v>
      </c>
      <c r="AF14" s="1257">
        <f t="shared" si="1"/>
        <v>36</v>
      </c>
      <c r="AG14" s="1257">
        <f t="shared" si="1"/>
        <v>0</v>
      </c>
      <c r="AH14" s="1257">
        <f t="shared" si="1"/>
        <v>3832</v>
      </c>
      <c r="AI14" s="1257">
        <f t="shared" si="1"/>
        <v>0</v>
      </c>
      <c r="AJ14" s="1257">
        <f t="shared" si="1"/>
        <v>0</v>
      </c>
      <c r="AK14" s="1257">
        <f t="shared" si="1"/>
        <v>0</v>
      </c>
      <c r="AL14" s="1257">
        <f t="shared" si="1"/>
        <v>353</v>
      </c>
      <c r="AM14" s="1257">
        <f t="shared" si="1"/>
        <v>293</v>
      </c>
      <c r="AN14" s="1257">
        <f t="shared" si="1"/>
        <v>0</v>
      </c>
      <c r="AO14" s="1257">
        <f t="shared" si="1"/>
        <v>0</v>
      </c>
      <c r="AP14" s="1262">
        <f>IF(ISNUMBER(((Datos!L14/Datos!K14)*11)/factor_trimestre),((Datos!L14/Datos!K14)*11)/factor_trimestre," - ")</f>
        <v>6.3968609865470851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-0.68</v>
      </c>
      <c r="AU14" s="1257" t="str">
        <f>IF(ISNUMBER((DatosP!#REF!-DatosP!#REF!+DatosP!#REF!)/(DatosP!#REF!+DatosP!#REF!-DatosP!#REF!-DatosP!#REF!)),(DatosP!#REF!-DatosP!#REF!+DatosP!#REF!)/(DatosP!#REF!+DatosP!#REF!-DatosP!#REF!-DatosP!#REF!)," - ")</f>
        <v xml:space="preserve"> - </v>
      </c>
      <c r="AV14" s="1263">
        <f>SUBTOTAL(9,AV9:AV13)</f>
        <v>4.6137046137046139E-2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1.1901315789473685</v>
      </c>
      <c r="AQ23" s="1262">
        <f>IF(ISNUMBER(((Datos!M23/Datos!L23)*11)/factor_trimestre),((Datos!M23/Datos!L23)*11)/factor_trimestre," - ")</f>
        <v>0.8159203980099502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6.369426751592357E-3</v>
      </c>
      <c r="AW23" s="1265">
        <f>IF(ISNUMBER((Datos!Q23-Datos!R23)/(Datos!S23-Datos!Q23+Datos!R23)),(Datos!Q23-Datos!R23)/(Datos!S23-Datos!Q23+Datos!R23)," - ")</f>
        <v>-0.10386965376782077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311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135</v>
      </c>
      <c r="AE31" s="1284">
        <f t="shared" si="9"/>
        <v>0</v>
      </c>
      <c r="AF31" s="1285">
        <f t="shared" si="9"/>
        <v>36</v>
      </c>
      <c r="AG31" s="1285">
        <f t="shared" si="9"/>
        <v>0</v>
      </c>
      <c r="AH31" s="1285">
        <f t="shared" si="9"/>
        <v>3832</v>
      </c>
      <c r="AI31" s="1285">
        <f t="shared" si="9"/>
        <v>0</v>
      </c>
      <c r="AJ31" s="1286">
        <f t="shared" si="9"/>
        <v>0</v>
      </c>
      <c r="AK31" s="1286">
        <f t="shared" si="9"/>
        <v>0</v>
      </c>
      <c r="AL31" s="1278">
        <f t="shared" si="9"/>
        <v>353</v>
      </c>
      <c r="AM31" s="1278">
        <f t="shared" si="9"/>
        <v>293</v>
      </c>
      <c r="AN31" s="1278">
        <f t="shared" si="9"/>
        <v>0</v>
      </c>
      <c r="AO31" s="1278">
        <f t="shared" si="9"/>
        <v>0</v>
      </c>
      <c r="AP31" s="1278">
        <f>IF(ISNUMBER(((Datos!L31/Datos!K31)*11)/factor_trimestre),((Datos!L31/Datos!K31)*11)/factor_trimestre," - ")</f>
        <v>3.1156716417910446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4.6298718284070103E-2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2.6457513110645907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179.23466926537026</v>
      </c>
      <c r="AM33" s="1006"/>
      <c r="AN33" s="1006">
        <f>IF(ISNUMBER(STDEV(AN8:AN30)),STDEV(AN8:AN30),"-")</f>
        <v>0</v>
      </c>
      <c r="AO33" s="1012">
        <f>IF(ISNUMBER(STDEV(AO8:AO30)),STDEV(AO8:AO30),"-")</f>
        <v>0</v>
      </c>
      <c r="AP33" s="1065">
        <f>IF(ISNUMBER(STDEV(AP8:AP30)),STDEV(AP8:AP30),"-")</f>
        <v>2.5034051577988268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FhVSleht328Z1QXc+LlJIYQNanK6Mi6GO/9F8H9P+l/YM5rPr2z4G/fD9mFPp7Xx5U6P2plp2ovD211RM39+g==" saltValue="zrwQCSagm3hD70dRC/8T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CEUTA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f>IF(ISNUMBER(E21/Datos!BH21),E21/Datos!BH21," - ")</f>
        <v>0</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056Lsr0zHXxzZkMxXbxn7pFIZ5TZfQhRFLmAoxjZIIpqcnPi40UnSfhHQ6FhwkL4LXUhrgMhOIy13cQ/ngPCQ==" saltValue="egsrx0DdfsGT9UL/GvBj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CEUTA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6</v>
      </c>
      <c r="G10" s="452">
        <f>IF(ISNUMBER(F10/B10),F10/B10," - ")</f>
        <v>6</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345</v>
      </c>
      <c r="E12" s="452">
        <f t="shared" si="0"/>
        <v>57.5</v>
      </c>
      <c r="F12" s="451">
        <f>IF(ISNUMBER(Datos!N12),Datos!N12," - ")</f>
        <v>287</v>
      </c>
      <c r="G12" s="452">
        <f t="shared" si="1"/>
        <v>47.833333333333336</v>
      </c>
      <c r="H12" s="451">
        <f>IF(ISNUMBER(Datos!O12),Datos!O12," - ")</f>
        <v>382</v>
      </c>
      <c r="I12" s="452">
        <f t="shared" si="2"/>
        <v>63.666666666666664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353</v>
      </c>
      <c r="E14" s="1147">
        <f t="shared" si="0"/>
        <v>50.428571428571431</v>
      </c>
      <c r="F14" s="1146">
        <f>SUBTOTAL(9,F9:F13)</f>
        <v>293</v>
      </c>
      <c r="G14" s="1147">
        <f t="shared" si="1"/>
        <v>41.857142857142854</v>
      </c>
      <c r="H14" s="1146">
        <f>SUBTOTAL(9,H9:H13)</f>
        <v>384</v>
      </c>
      <c r="I14" s="1147">
        <f>IF(ISNUMBER(H14/B14),H14/B14," - ")</f>
        <v>54.857142857142854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152</v>
      </c>
      <c r="E17" s="452">
        <f t="shared" si="3"/>
        <v>25.333333333333332</v>
      </c>
      <c r="F17" s="451">
        <f>IF(ISNUMBER(Datos!N17),Datos!N17," - ")</f>
        <v>963</v>
      </c>
      <c r="G17" s="452">
        <f t="shared" si="4"/>
        <v>160.5</v>
      </c>
      <c r="H17" s="451">
        <f>IF(ISNUMBER(Datos!O17),Datos!O17," - ")</f>
        <v>2</v>
      </c>
      <c r="I17" s="452">
        <f t="shared" si="5"/>
        <v>0.33333333333333331</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30</v>
      </c>
      <c r="G18" s="452">
        <f>IF(ISNUMBER(F18/B18),F18/B18," - ")</f>
        <v>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0</v>
      </c>
      <c r="D21" s="451">
        <f>IF(ISNUMBER(Datos!M21),Datos!M21," - ")</f>
        <v>0</v>
      </c>
      <c r="E21" s="452">
        <f t="shared" si="3"/>
        <v>0</v>
      </c>
      <c r="F21" s="451">
        <f>IF(ISNUMBER(Datos!N21),Datos!N21," - ")</f>
        <v>0</v>
      </c>
      <c r="G21" s="452">
        <f t="shared" si="4"/>
        <v>0</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6</v>
      </c>
      <c r="D23" s="1146">
        <f>SUBTOTAL(9,D16:D22)</f>
        <v>164</v>
      </c>
      <c r="E23" s="1147">
        <f t="shared" si="3"/>
        <v>20.5</v>
      </c>
      <c r="F23" s="1146">
        <f>SUBTOTAL(9,F16:F22)</f>
        <v>993</v>
      </c>
      <c r="G23" s="1147">
        <f t="shared" si="4"/>
        <v>124.125</v>
      </c>
      <c r="H23" s="1146">
        <f>SUBTOTAL(9,H16:H22)</f>
        <v>2</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517</v>
      </c>
      <c r="E31" s="1085">
        <f>IF(ISNUMBER(D31/B31),D31/B31," - ")</f>
        <v>86.166666666666671</v>
      </c>
      <c r="F31" s="1084">
        <f>SUBTOTAL(9,F8:F30)</f>
        <v>1286</v>
      </c>
      <c r="G31" s="1085">
        <f>IF(ISNUMBER(F31/B31),F31/B31," - ")</f>
        <v>214.33333333333334</v>
      </c>
      <c r="H31" s="1084">
        <f>SUBTOTAL(9,H8:H30)</f>
        <v>386</v>
      </c>
      <c r="I31" s="1085">
        <f>IF(ISNUMBER(H31/B31),H31/B31," - ")</f>
        <v>64.333333333333329</v>
      </c>
    </row>
    <row r="34" spans="1:1">
      <c r="A34" s="439" t="str">
        <f>Criterios!A4</f>
        <v>Fecha Informe: 05 may. 2023</v>
      </c>
    </row>
    <row r="39" spans="1:1">
      <c r="A39" s="462"/>
    </row>
  </sheetData>
  <sheetProtection algorithmName="SHA-512" hashValue="zbtQ5oiS58U2vDgZm6aHdG+rPB/4zHsAeqSW8pw9kQVrbneqkBCvyl4lLrNgQaQEhMRA1UT/ArKzXFfksyqrUQ==" saltValue="QG86jddJpR4BtLdm8kEu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CEUTA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304</v>
      </c>
      <c r="C12" s="489">
        <f>IF(ISNUMBER(Datos!Q12),Datos!Q12," - ")</f>
        <v>135</v>
      </c>
      <c r="D12" s="456">
        <f>IF(ISNUMBER(Datos!R12),Datos!R12," - ")</f>
        <v>3832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311</v>
      </c>
      <c r="C14" s="1150">
        <f>SUBTOTAL(9,C9:C13)</f>
        <v>135</v>
      </c>
      <c r="D14" s="1148">
        <f>SUBTOTAL(9,D9:D13)</f>
        <v>3842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55</v>
      </c>
      <c r="D17" s="456">
        <f>IF(ISNUMBER(Datos!R17),Datos!R17," - ")</f>
        <v>153</v>
      </c>
    </row>
    <row r="18" spans="1:4">
      <c r="A18" s="450" t="str">
        <f>Datos!A18</f>
        <v>Jdos. Violencia contra la mujer</v>
      </c>
      <c r="B18" s="488">
        <f>IF(ISNUMBER(Datos!P18),Datos!P18," - ")</f>
        <v>2</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0</v>
      </c>
      <c r="C21" s="489">
        <f>IF(ISNUMBER(Datos!Q21),Datos!Q21," - ")</f>
        <v>0</v>
      </c>
      <c r="D21" s="456">
        <f>IF(ISNUMBER(Datos!R21),Datos!R21," - ")</f>
        <v>2</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57</v>
      </c>
      <c r="C23" s="1150">
        <f>SUBTOTAL(9,C16:C22)</f>
        <v>56</v>
      </c>
      <c r="D23" s="1148">
        <f>SUBTOTAL(9,D16:D22)</f>
        <v>158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368</v>
      </c>
      <c r="C31" s="1089">
        <f>SUBTOTAL(9,C8:C30)</f>
        <v>191</v>
      </c>
      <c r="D31" s="1090">
        <f>SUBTOTAL(9,D8:D30)</f>
        <v>4000</v>
      </c>
    </row>
    <row r="32" spans="1:4" ht="7.5" customHeight="1"/>
    <row r="33" spans="1:1" ht="6" customHeight="1"/>
    <row r="34" spans="1:1">
      <c r="A34" s="439" t="str">
        <f>Criterios!A4</f>
        <v>Fecha Informe: 05 may. 2023</v>
      </c>
    </row>
    <row r="39" spans="1:1">
      <c r="A39" s="462"/>
    </row>
  </sheetData>
  <sheetProtection algorithmName="SHA-512" hashValue="8juRSkUhLQQ0zBQMjLXsKEuo08bkH3ZiFrBpSnHvpw0DbP4kV0hHXq+KMWjzJ6T7RVBqUPdK5n08nu+XkqS/xw==" saltValue="vKKjag37DTuhKCdWSY+u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CEUTA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-0.30555555555555558</v>
      </c>
      <c r="C10" s="515">
        <f>IF(ISNUMBER((Datos!J10-Datos!T10)/Datos!T10),(Datos!J10-Datos!T10)/Datos!T10," - ")</f>
        <v>1.5454545454545454</v>
      </c>
      <c r="D10" s="515">
        <f>IF(ISNUMBER((Datos!K10-Datos!U10)/Datos!U10),(Datos!K10-Datos!U10)/Datos!U10," - ")</f>
        <v>0.41666666666666669</v>
      </c>
      <c r="E10" s="515">
        <f>IF(ISNUMBER((Datos!L10-Datos!V10)/Datos!V10),(Datos!L10-Datos!V10)/Datos!V10," - ")</f>
        <v>2.8571428571428571E-2</v>
      </c>
      <c r="F10" s="515">
        <f>IF(ISNUMBER((Datos!M10-Datos!W10)/Datos!W10),(Datos!M10-Datos!W10)/Datos!W10," - ")</f>
        <v>0.33333333333333331</v>
      </c>
      <c r="G10" s="516">
        <f>IF(ISNUMBER((Datos!N10-Datos!X10)/Datos!X10),(Datos!N10-Datos!X10)/Datos!X10," - ")</f>
        <v>0.2</v>
      </c>
      <c r="H10" s="514">
        <f>IF(ISNUMBER(((NºAsuntos!G10/NºAsuntos!E10)-Datos!BD10)/Datos!BD10),((NºAsuntos!G10/NºAsuntos!E10)-Datos!BD10)/Datos!BD10," - ")</f>
        <v>-0.44345238095238093</v>
      </c>
      <c r="I10" s="515">
        <f>IF(ISNUMBER(((NºAsuntos!I10/NºAsuntos!G10)-Datos!BE10)/Datos!BE10),((NºAsuntos!I10/NºAsuntos!G10)-Datos!BE10)/Datos!BE10," - ")</f>
        <v>-0.27394957983193274</v>
      </c>
      <c r="J10" s="521">
        <f>IF(ISNUMBER((('Resol  Asuntos'!D10/NºAsuntos!G10)-Datos!BF10)/Datos!BF10),(('Resol  Asuntos'!D10/NºAsuntos!G10)-Datos!BF10)/Datos!BF10," - ")</f>
        <v>-5.8823529411764719E-2</v>
      </c>
      <c r="K10" s="522">
        <f>IF(ISNUMBER((((NºAsuntos!C10+NºAsuntos!E10)/NºAsuntos!G10)-Datos!BG10)/Datos!BG10),(((NºAsuntos!C10+NºAsuntos!E10)/NºAsuntos!G10)-Datos!BG10)/Datos!BG10," - ")</f>
        <v>-0.20400500625782225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0.15361977633902296</v>
      </c>
      <c r="C12" s="515">
        <f>IF(ISNUMBER(
   IF(J_V="SI",(Datos!J12-Datos!T12)/Datos!T12,(Datos!J12+Datos!Z12-(Datos!T12+Datos!AH12))/(Datos!T12+Datos!AH12))
     ),IF(J_V="SI",(Datos!J12-Datos!T12)/Datos!T12,(Datos!J12+Datos!Z12-(Datos!T12+Datos!AH12))/(Datos!T12+Datos!AH12))," - ")</f>
        <v>8.8932806324110679E-3</v>
      </c>
      <c r="D12" s="515">
        <f>IF(ISNUMBER(
   IF(J_V="SI",(Datos!K12-Datos!U12)/Datos!U12,(Datos!K12+Datos!AA12-(Datos!U12+Datos!AI12))/(Datos!U12+Datos!AI12))
     ),IF(J_V="SI",(Datos!K12-Datos!U12)/Datos!U12,(Datos!K12+Datos!AA12-(Datos!U12+Datos!AI12))/(Datos!U12+Datos!AI12))," - ")</f>
        <v>0.10654827968923418</v>
      </c>
      <c r="E12" s="515">
        <f>IF(ISNUMBER(
   IF(J_V="SI",(Datos!L12-Datos!V12)/Datos!V12,(Datos!L12+Datos!AB12-(Datos!V12+Datos!AJ12))/(Datos!V12+Datos!AJ12))
     ),IF(J_V="SI",(Datos!L12-Datos!V12)/Datos!V12,(Datos!L12+Datos!AB12-(Datos!V12+Datos!AJ12))/(Datos!V12+Datos!AJ12))," - ")</f>
        <v>2.1459227467811159E-2</v>
      </c>
      <c r="F12" s="515">
        <f>IF(ISNUMBER((Datos!M12-Datos!W12)/Datos!W12),(Datos!M12-Datos!W12)/Datos!W12," - ")</f>
        <v>-5.9945504087193457E-2</v>
      </c>
      <c r="G12" s="516">
        <f>IF(ISNUMBER((Datos!N12-Datos!X12)/Datos!X12),(Datos!N12-Datos!X12)/Datos!X12," - ")</f>
        <v>0.21610169491525424</v>
      </c>
      <c r="H12" s="514">
        <f>IF(ISNUMBER(((NºAsuntos!G12/NºAsuntos!E12)-Datos!BD12)/Datos!BD12),((NºAsuntos!G12/NºAsuntos!E12)-Datos!BD12)/Datos!BD12," - ")</f>
        <v>9.6794181239476001E-2</v>
      </c>
      <c r="I12" s="515">
        <f>IF(ISNUMBER(((NºAsuntos!I12/NºAsuntos!G12)-Datos!BE12)/Datos!BE12),((NºAsuntos!I12/NºAsuntos!G12)-Datos!BE12)/Datos!BE12," - ")</f>
        <v>-7.6895923822971016E-2</v>
      </c>
      <c r="J12" s="521">
        <f>IF(ISNUMBER((('Resol  Asuntos'!D12/NºAsuntos!G12)-Datos!BF12)/Datos!BF12),(('Resol  Asuntos'!D12/NºAsuntos!G12)-Datos!BF12)/Datos!BF12," - ")</f>
        <v>0.32110313992825934</v>
      </c>
      <c r="K12" s="522">
        <f>IF(ISNUMBER((((NºAsuntos!C12+NºAsuntos!E12)/NºAsuntos!G12)-Datos!BG12)/Datos!BG12),(((NºAsuntos!C12+NºAsuntos!E12)/NºAsuntos!G12)-Datos!BG12)/Datos!BG12," - ")</f>
        <v>-6.2844379690159468E-3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0.14409221902017291</v>
      </c>
      <c r="C14" s="1152">
        <f>IF(ISNUMBER(
   IF(J_V="SI",(Datos!J14-Datos!T14)/Datos!T14,(Datos!J14+Datos!Z14-(Datos!T14+Datos!AH14))/(Datos!T14+Datos!AH14))
     ),IF(J_V="SI",(Datos!J14-Datos!T14)/Datos!T14,(Datos!J14+Datos!Z14-(Datos!T14+Datos!AH14))/(Datos!T14+Datos!AH14))," - ")</f>
        <v>2.5415444770283482E-2</v>
      </c>
      <c r="D14" s="1152">
        <f>IF(ISNUMBER(
   IF(J_V="SI",(Datos!K14-Datos!U14)/Datos!U14,(Datos!K14+Datos!AA14-(Datos!U14+Datos!AI14))/(Datos!U14+Datos!AI14))
     ),IF(J_V="SI",(Datos!K14-Datos!U14)/Datos!U14,(Datos!K14+Datos!AA14-(Datos!U14+Datos!AI14))/(Datos!U14+Datos!AI14))," - ")</f>
        <v>0.11062431544359255</v>
      </c>
      <c r="E14" s="1152">
        <f>IF(ISNUMBER(
   IF(J_V="SI",(Datos!L14-Datos!V14)/Datos!V14,(Datos!L14+Datos!AB14-(Datos!V14+Datos!AJ14))/(Datos!V14+Datos!AJ14))
     ),IF(J_V="SI",(Datos!L14-Datos!V14)/Datos!V14,(Datos!L14+Datos!AB14-(Datos!V14+Datos!AJ14))/(Datos!V14+Datos!AJ14))," - ")</f>
        <v>2.1590310689836755E-2</v>
      </c>
      <c r="F14" s="1153">
        <f>IF(ISNUMBER((Datos!M14-Datos!W14)/Datos!W14),(Datos!M14-Datos!W14)/Datos!W14," - ")</f>
        <v>-5.3619302949061663E-2</v>
      </c>
      <c r="G14" s="1154">
        <f>IF(ISNUMBER((Datos!N14-Datos!X14)/Datos!X14),(Datos!N14-Datos!X14)/Datos!X14," - ")</f>
        <v>0.21576763485477179</v>
      </c>
      <c r="H14" s="1154">
        <f>IF(ISNUMBER(((NºAsuntos!G14/NºAsuntos!E14)-Datos!BD14)/Datos!BD14),((NºAsuntos!G14/NºAsuntos!E14)-Datos!BD14)/Datos!BD14," - ")</f>
        <v>8.3096925356334769E-2</v>
      </c>
      <c r="I14" s="1154">
        <f>IF(ISNUMBER(((NºAsuntos!I14/NºAsuntos!G14)-Datos!BE14)/Datos!BE14),((NºAsuntos!I14/NºAsuntos!G14)-Datos!BE14)/Datos!BE14," - ")</f>
        <v>-8.0165726173746607E-2</v>
      </c>
      <c r="J14" s="1154">
        <f>IF(ISNUMBER((('Resol  Asuntos'!D14/NºAsuntos!G14)-Datos!BF14)/Datos!BF14),(('Resol  Asuntos'!D14/NºAsuntos!G14)-Datos!BF14)/Datos!BF14," - ")</f>
        <v>0.31338533261610174</v>
      </c>
      <c r="K14" s="1154">
        <f>IF(ISNUMBER((((NºAsuntos!C14+NºAsuntos!E14)/NºAsuntos!G14)-Datos!BG14)/Datos!BG14),(((NºAsuntos!C14+NºAsuntos!E14)/NºAsuntos!G14)-Datos!BG14)/Datos!BG14," - ")</f>
        <v>-9.5007816600944338E-3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-0.20129870129870131</v>
      </c>
      <c r="C17" s="515">
        <f>IF(ISNUMBER(
   IF(D_I="SI",(Datos!J17-Datos!T17)/Datos!T17,(Datos!J17+Datos!AD17-(Datos!T17+Datos!AL17))/(Datos!T17+Datos!AL17))
     ),IF(D_I="SI",(Datos!J17-Datos!T17)/Datos!T17,(Datos!J17+Datos!AD17-(Datos!T17+Datos!AL17))/(Datos!T17+Datos!AL17))," - ")</f>
        <v>0.24144144144144145</v>
      </c>
      <c r="D17" s="515">
        <f>IF(ISNUMBER(
   IF(D_I="SI",(Datos!K17-Datos!U17)/Datos!U17,(Datos!K17+Datos!AE17-(Datos!U17+Datos!AM17))/(Datos!U17+Datos!AM17))
     ),IF(D_I="SI",(Datos!K17-Datos!U17)/Datos!U17,(Datos!K17+Datos!AE17-(Datos!U17+Datos!AM17))/(Datos!U17+Datos!AM17))," - ")</f>
        <v>0.19636963696369636</v>
      </c>
      <c r="E17" s="515">
        <f>IF(ISNUMBER(
   IF(D_I="SI",(Datos!L17-Datos!V17)/Datos!V17,(Datos!L17+Datos!AF17-(Datos!V17+Datos!AN17))/(Datos!V17+Datos!AN17))
     ),IF(D_I="SI",(Datos!L17-Datos!V17)/Datos!V17,(Datos!L17+Datos!AF17-(Datos!V17+Datos!AN17))/(Datos!V17+Datos!AN17))," - ")</f>
        <v>-0.18440779610194902</v>
      </c>
      <c r="F17" s="515">
        <f>IF(ISNUMBER((Datos!M17-Datos!W17)/Datos!W17),(Datos!M17-Datos!W17)/Datos!W17," - ")</f>
        <v>7.0422535211267609E-2</v>
      </c>
      <c r="G17" s="516">
        <f>IF(ISNUMBER((Datos!N17-Datos!X17)/Datos!X17),(Datos!N17-Datos!X17)/Datos!X17," - ")</f>
        <v>0.29959514170040485</v>
      </c>
      <c r="H17" s="514">
        <f>IF(ISNUMBER(((NºAsuntos!G17/NºAsuntos!E17)-Datos!BD17)/Datos!BD17),((NºAsuntos!G17/NºAsuntos!E17)-Datos!BD17)/Datos!BD17," - ")</f>
        <v>-3.6306025377573915E-2</v>
      </c>
      <c r="I17" s="515">
        <f>IF(ISNUMBER(((NºAsuntos!I17/NºAsuntos!G17)-Datos!BE17)/Datos!BE17),((NºAsuntos!I17/NºAsuntos!G17)-Datos!BE17)/Datos!BE17," - ")</f>
        <v>-0.31827741301762907</v>
      </c>
      <c r="J17" s="521">
        <f>IF(ISNUMBER((('Resol  Asuntos'!D17/NºAsuntos!G17)-Datos!BF17)/Datos!BF17),(('Resol  Asuntos'!D17/NºAsuntos!G17)-Datos!BF17)/Datos!BF17," - ")</f>
        <v>-0.10527440505099561</v>
      </c>
      <c r="K17" s="522">
        <f>IF(ISNUMBER((((NºAsuntos!C17+NºAsuntos!E17)/NºAsuntos!G17)-Datos!BG17)/Datos!BG17),(((NºAsuntos!C17+NºAsuntos!E17)/NºAsuntos!G17)-Datos!BG17)/Datos!BG17," - ")</f>
        <v>-0.11389728539985325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-0.61818181818181817</v>
      </c>
      <c r="C18" s="515">
        <f>IF(ISNUMBER(
   IF(D_I="SI",(Datos!J18-Datos!T18)/Datos!T18,(Datos!J18+Datos!AD18-(Datos!T18+Datos!AL18))/(Datos!T18+Datos!AL18))
     ),IF(D_I="SI",(Datos!J18-Datos!T18)/Datos!T18,(Datos!J18+Datos!AD18-(Datos!T18+Datos!AL18))/(Datos!T18+Datos!AL18))," - ")</f>
        <v>-0.30952380952380953</v>
      </c>
      <c r="D18" s="515">
        <f>IF(ISNUMBER(
   IF(D_I="SI",(Datos!K18-Datos!U18)/Datos!U18,(Datos!K18+Datos!AE18-(Datos!U18+Datos!AM18))/(Datos!U18+Datos!AM18))
     ),IF(D_I="SI",(Datos!K18-Datos!U18)/Datos!U18,(Datos!K18+Datos!AE18-(Datos!U18+Datos!AM18))/(Datos!U18+Datos!AM18))," - ")</f>
        <v>-0.5757575757575758</v>
      </c>
      <c r="E18" s="515">
        <f>IF(ISNUMBER(
   IF(D_I="SI",(Datos!L18-Datos!V18)/Datos!V18,(Datos!L18+Datos!AF18-(Datos!V18+Datos!AN18))/(Datos!V18+Datos!AN18))
     ),IF(D_I="SI",(Datos!L18-Datos!V18)/Datos!V18,(Datos!L18+Datos!AF18-(Datos!V18+Datos!AN18))/(Datos!V18+Datos!AN18))," - ")</f>
        <v>-0.16901408450704225</v>
      </c>
      <c r="F18" s="515">
        <f>IF(ISNUMBER((Datos!M18-Datos!W18)/Datos!W18),(Datos!M18-Datos!W18)/Datos!W18," - ")</f>
        <v>-7.6923076923076927E-2</v>
      </c>
      <c r="G18" s="516">
        <f>IF(ISNUMBER((Datos!N18-Datos!X18)/Datos!X18),(Datos!N18-Datos!X18)/Datos!X18," - ")</f>
        <v>-6.25E-2</v>
      </c>
      <c r="H18" s="514">
        <f>IF(ISNUMBER(((NºAsuntos!G18/NºAsuntos!E18)-Datos!BD18)/Datos!BD18),((NºAsuntos!G18/NºAsuntos!E18)-Datos!BD18)/Datos!BD18," - ")</f>
        <v>-0.38557993730407525</v>
      </c>
      <c r="I18" s="515">
        <f>IF(ISNUMBER(((NºAsuntos!I18/NºAsuntos!G18)-Datos!BE18)/Datos!BE18),((NºAsuntos!I18/NºAsuntos!G18)-Datos!BE18)/Datos!BE18," - ")</f>
        <v>0.95875251509054327</v>
      </c>
      <c r="J18" s="521">
        <f>IF(ISNUMBER((('Resol  Asuntos'!D18/NºAsuntos!G18)-Datos!BF18)/Datos!BF18),(('Resol  Asuntos'!D18/NºAsuntos!G18)-Datos!BF18)/Datos!BF18," - ")</f>
        <v>1.1758241758241761</v>
      </c>
      <c r="K18" s="522">
        <f>IF(ISNUMBER((((NºAsuntos!C18+NºAsuntos!E18)/NºAsuntos!G18)-Datos!BG18)/Datos!BG18),(((NºAsuntos!C18+NºAsuntos!E18)/NºAsuntos!G18)-Datos!BG18)/Datos!BG18," - ")</f>
        <v>0.28843825665859546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-0.25340909090909092</v>
      </c>
      <c r="C23" s="1152">
        <f>IF(ISNUMBER(
   IF(Criterios!B14="SI",(Datos!J23-Datos!T23)/Datos!T23,(Datos!J23+Datos!AD23-(Datos!T23+Datos!AL23))/(Datos!T23+Datos!AL23))
     ),IF(Criterios!B14="SI",(Datos!J23-Datos!T23)/Datos!T23,(Datos!J23+Datos!AD23-(Datos!T23+Datos!AL23))/(Datos!T23+Datos!AL23))," - ")</f>
        <v>0.18527508090614886</v>
      </c>
      <c r="D23" s="1152">
        <f>IF(ISNUMBER(
   IF(Criterios!B14="SI",(Datos!K23-Datos!U23)/Datos!U23,(Datos!K23+Datos!AE23-(Datos!U23+Datos!AM23))/(Datos!U23+Datos!AM23))
     ),IF(Criterios!B14="SI",(Datos!K23-Datos!U23)/Datos!U23,(Datos!K23+Datos!AE23-(Datos!U23+Datos!AM23))/(Datos!U23+Datos!AM23))," - ")</f>
        <v>0.10384894698620188</v>
      </c>
      <c r="E23" s="1152">
        <f>IF(ISNUMBER(
   IF(Criterios!B14="SI",(Datos!L23-Datos!V23)/Datos!V23,(Datos!L23+Datos!AF23-(Datos!V23+Datos!AN23))/(Datos!V23+Datos!AN23))
     ),IF(Criterios!B14="SI",(Datos!L23-Datos!V23)/Datos!V23,(Datos!L23+Datos!AF23-(Datos!V23+Datos!AN23))/(Datos!V23+Datos!AN23))," - ")</f>
        <v>-0.18292682926829268</v>
      </c>
      <c r="F23" s="1153">
        <f>IF(ISNUMBER((Datos!M23-Datos!W23)/Datos!W23),(Datos!M23-Datos!W23)/Datos!W23," - ")</f>
        <v>5.8064516129032261E-2</v>
      </c>
      <c r="G23" s="1154">
        <f>IF(ISNUMBER((Datos!N23-Datos!X23)/Datos!X23),(Datos!N23-Datos!X23)/Datos!X23," - ")</f>
        <v>0.28460543337645539</v>
      </c>
      <c r="H23" s="1154">
        <f>IF(ISNUMBER(((NºAsuntos!G23/NºAsuntos!E23)-Datos!BD23)/Datos!BD23),((NºAsuntos!G23/NºAsuntos!E23)-Datos!BD23)/Datos!BD23," - ")</f>
        <v>-6.8698089778194318E-2</v>
      </c>
      <c r="I23" s="1154">
        <f>IF(ISNUMBER(((NºAsuntos!I23/NºAsuntos!G23)-Datos!BE23)/Datos!BE23),((NºAsuntos!I23/NºAsuntos!G23)-Datos!BE23)/Datos!BE23," - ")</f>
        <v>-0.25979621309370987</v>
      </c>
      <c r="J23" s="1154">
        <f>IF(ISNUMBER((('Resol  Asuntos'!D23/NºAsuntos!G23)-Datos!BF23)/Datos!BF23),(('Resol  Asuntos'!D23/NºAsuntos!G23)-Datos!BF23)/Datos!BF23," - ")</f>
        <v>-4.1477079796264832E-2</v>
      </c>
      <c r="K23" s="1154">
        <f>IF(ISNUMBER((((NºAsuntos!C23+NºAsuntos!E23)/NºAsuntos!G23)-Datos!BG23)/Datos!BG23),(((NºAsuntos!C23+NºAsuntos!E23)/NºAsuntos!G23)-Datos!BG23)/Datos!BG23," - ")</f>
        <v>-9.1510173117102731E-2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1.0325047801147227E-2</v>
      </c>
      <c r="C31" s="1092">
        <f>IF(ISNUMBER(
   IF(J_V="SI",(Datos!J31-Datos!T31)/Datos!T31,(Datos!J31+Datos!Z31-(Datos!T31+Datos!AH31))/(Datos!T31+Datos!AH31))
     ),IF(J_V="SI",(Datos!J31-Datos!T31)/Datos!T31,(Datos!J31+Datos!Z31-(Datos!T31+Datos!AH31))/(Datos!T31+Datos!AH31))," - ")</f>
        <v>0.11288180610889774</v>
      </c>
      <c r="D31" s="1092">
        <f>IF(ISNUMBER(
   IF(J_V="SI",(Datos!K31-Datos!U31)/Datos!U31,(Datos!K31+Datos!AA31-(Datos!U31+Datos!AI31))/(Datos!U31+Datos!AI31))
     ),IF(J_V="SI",(Datos!K31-Datos!U31)/Datos!U31,(Datos!K31+Datos!AA31-(Datos!U31+Datos!AI31))/(Datos!U31+Datos!AI31))," - ")</f>
        <v>0.10655021834061135</v>
      </c>
      <c r="E31" s="1092">
        <f>IF(ISNUMBER(
   IF(J_V="SI",(Datos!L31-Datos!V31)/Datos!V31,(Datos!L31+Datos!AB31-(Datos!V31+Datos!AJ31))/(Datos!V31+Datos!AJ31))
     ),IF(J_V="SI",(Datos!L31-Datos!V31)/Datos!V31,(Datos!L31+Datos!AB31-(Datos!V31+Datos!AJ31))/(Datos!V31+Datos!AJ31))," - ")</f>
        <v>-3.5646568069776258E-2</v>
      </c>
      <c r="F31" s="1093">
        <f>IF(ISNUMBER((Datos!M31-Datos!W31)/Datos!W31),(Datos!M31-Datos!W31)/Datos!W31," - ")</f>
        <v>-2.0833333333333332E-2</v>
      </c>
      <c r="G31" s="1094">
        <f>IF(ISNUMBER((Datos!N31-Datos!X31)/Datos!X31),(Datos!N31-Datos!X31)/Datos!X31," - ")</f>
        <v>0.26824457593688361</v>
      </c>
      <c r="H31" s="1095">
        <f>IF(ISNUMBER((Tasas!B31-Datos!BD31)/Datos!BD31),(Tasas!B31-Datos!BD31)/Datos!BD31," - ")</f>
        <v>-5.6893622786631844E-3</v>
      </c>
      <c r="I31" s="1096">
        <f>IF(ISNUMBER((Tasas!C31-Datos!BE31)/Datos!BE31),(Tasas!C31-Datos!BE31)/Datos!BE31," - ")</f>
        <v>-0.12850459387521204</v>
      </c>
      <c r="J31" s="1097">
        <f>IF(ISNUMBER((Tasas!D31-Datos!BF31)/Datos!BF31),(Tasas!D31-Datos!BF31)/Datos!BF31," - ")</f>
        <v>0.17687112698037169</v>
      </c>
      <c r="K31" s="1097">
        <f>IF(ISNUMBER((Tasas!E31-Datos!BG31)/Datos!BG31),(Tasas!E31-Datos!BG31)/Datos!BG31," - ")</f>
        <v>-4.4003602706110277E-2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qGXrs6FRSu5OV4Mf4THgOcv33jeU+47Hb7e56eqnkQ1wiAcMTG1O8HOopVhE8AnEgasgW1M3M8tMH8POVq+6w==" saltValue="+qOsWvWJ0/0PlIz1g1Kk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CEUTA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0.6071428571428571</v>
      </c>
      <c r="C10" s="498">
        <f>IF(ISNUMBER(NºAsuntos!I10/NºAsuntos!G10),NºAsuntos!I10/NºAsuntos!G10," - ")</f>
        <v>2.1176470588235294</v>
      </c>
      <c r="D10" s="499">
        <f>IF(ISNUMBER('Resol  Asuntos'!D10/NºAsuntos!G10),'Resol  Asuntos'!D10/NºAsuntos!G10," - ")</f>
        <v>0.47058823529411764</v>
      </c>
      <c r="E10" s="500">
        <f>IF(ISNUMBER((NºAsuntos!C10+NºAsuntos!E10)/NºAsuntos!G10),(NºAsuntos!C10+NºAsuntos!E10)/NºAsuntos!G10," - ")</f>
        <v>3.1176470588235294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0.97649363369245834</v>
      </c>
      <c r="C12" s="498">
        <f>IF(ISNUMBER(NºAsuntos!I12/NºAsuntos!G12),NºAsuntos!I12/NºAsuntos!G12," - ")</f>
        <v>1.9097291875626881</v>
      </c>
      <c r="D12" s="499">
        <f>IF(ISNUMBER('Resol  Asuntos'!D12/NºAsuntos!G12),'Resol  Asuntos'!D12/NºAsuntos!G12," - ")</f>
        <v>0.34603811434302911</v>
      </c>
      <c r="E12" s="500">
        <f>IF(ISNUMBER((NºAsuntos!C12+NºAsuntos!E12)/NºAsuntos!G12),(NºAsuntos!C12+NºAsuntos!E12)/NºAsuntos!G12," - ")</f>
        <v>2.9899699097291874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0.96663489037178263</v>
      </c>
      <c r="C14" s="1156">
        <f>IF(ISNUMBER(NºAsuntos!I14/NºAsuntos!G14),NºAsuntos!I14/NºAsuntos!G14," - ")</f>
        <v>1.9132149901380671</v>
      </c>
      <c r="D14" s="1157">
        <f>IF(ISNUMBER('Resol  Asuntos'!D14/NºAsuntos!G14),'Resol  Asuntos'!D14/NºAsuntos!G14," - ")</f>
        <v>0.34812623274161736</v>
      </c>
      <c r="E14" s="1158">
        <f>IF(ISNUMBER((NºAsuntos!C14+NºAsuntos!E14)/NºAsuntos!G14),(NºAsuntos!C14+NºAsuntos!E14)/NºAsuntos!G14," - ")</f>
        <v>2.9921104536489151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1.0522496371552976</v>
      </c>
      <c r="C17" s="498">
        <f>IF(ISNUMBER(NºAsuntos!I17/NºAsuntos!G17),NºAsuntos!I17/NºAsuntos!G17," - ")</f>
        <v>0.37517241379310345</v>
      </c>
      <c r="D17" s="499">
        <f>IF(ISNUMBER('Resol  Asuntos'!D17/NºAsuntos!G17),'Resol  Asuntos'!D17/NºAsuntos!G17," - ")</f>
        <v>0.10482758620689656</v>
      </c>
      <c r="E17" s="500">
        <f>IF(ISNUMBER((NºAsuntos!C17+NºAsuntos!E17)/NºAsuntos!G17),(NºAsuntos!C17+NºAsuntos!E17)/NºAsuntos!G17," - ")</f>
        <v>1.3744827586206896</v>
      </c>
      <c r="G17" s="523"/>
    </row>
    <row r="18" spans="1:7">
      <c r="A18" s="450" t="str">
        <f>Datos!A18</f>
        <v>Jdos. Violencia contra la mujer</v>
      </c>
      <c r="B18" s="497">
        <f>IF(ISNUMBER(NºAsuntos!G18/NºAsuntos!E18),NºAsuntos!G18/NºAsuntos!E18," - ")</f>
        <v>0.8045977011494253</v>
      </c>
      <c r="C18" s="498">
        <f>IF(ISNUMBER(NºAsuntos!I18/NºAsuntos!G18),NºAsuntos!I18/NºAsuntos!G18," - ")</f>
        <v>0.84285714285714286</v>
      </c>
      <c r="D18" s="499">
        <f>IF(ISNUMBER('Resol  Asuntos'!D18/NºAsuntos!G18),'Resol  Asuntos'!D18/NºAsuntos!G18," - ")</f>
        <v>0.17142857142857143</v>
      </c>
      <c r="E18" s="500">
        <f>IF(ISNUMBER((NºAsuntos!C18+NºAsuntos!E18)/NºAsuntos!G18),(NºAsuntos!C18+NºAsuntos!E18)/NºAsuntos!G18," - ")</f>
        <v>1.8428571428571427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1.0375426621160408</v>
      </c>
      <c r="C23" s="1156">
        <f>IF(ISNUMBER(NºAsuntos!I23/NºAsuntos!G23),NºAsuntos!I23/NºAsuntos!G23," - ")</f>
        <v>0.39671052631578946</v>
      </c>
      <c r="D23" s="1159">
        <f>IF(ISNUMBER('Resol  Asuntos'!D23/NºAsuntos!G23),'Resol  Asuntos'!D23/NºAsuntos!G23," - ")</f>
        <v>0.10789473684210527</v>
      </c>
      <c r="E23" s="1158">
        <f>IF(ISNUMBER((NºAsuntos!C23+NºAsuntos!E23)/NºAsuntos!G23),(NºAsuntos!C23+NºAsuntos!E23)/NºAsuntos!G23," - ")</f>
        <v>1.3960526315789474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1.0079554494828957</v>
      </c>
      <c r="C31" s="1099">
        <f>IF(ISNUMBER(NºAsuntos!I31/NºAsuntos!G31),NºAsuntos!I31/NºAsuntos!G31," - ")</f>
        <v>1.0035516969218627</v>
      </c>
      <c r="D31" s="1100">
        <f>IF(ISNUMBER('Resol  Asuntos'!D31/NºAsuntos!G31),'Resol  Asuntos'!D31/NºAsuntos!G31," - ")</f>
        <v>0.20402525651144435</v>
      </c>
      <c r="E31" s="1101">
        <f>IF(ISNUMBER((NºAsuntos!C31+NºAsuntos!E31)/NºAsuntos!G31),(NºAsuntos!C31+NºAsuntos!E31)/NºAsuntos!G31," - ")</f>
        <v>2.0347277032359905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u51zYrmD06EzktZ4yhVjo2xyYiW4swhXzClk002mwMkfUYfZ8kILdnGes5PCaT2r8JZlYbxD3GRe8X324wH2Q==" saltValue="oXYKw8bWYYElnA7zhxC1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CEUTA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464</v>
      </c>
      <c r="B5" s="297"/>
      <c r="C5" s="1649" t="str">
        <f>"Año:  " &amp;Criterios!B$5 &amp; "          Trimestre   " &amp;Criterios!D$5 &amp; " al " &amp;Criterios!D$6</f>
        <v>Año:  2022          Trimestre   1 al 1</v>
      </c>
      <c r="D5" s="1628" t="s">
        <v>490</v>
      </c>
      <c r="E5" s="1628" t="s">
        <v>413</v>
      </c>
      <c r="F5" s="1651" t="s">
        <v>526</v>
      </c>
      <c r="G5" s="1654" t="s">
        <v>173</v>
      </c>
      <c r="H5" s="1634" t="s">
        <v>221</v>
      </c>
      <c r="I5" s="1634" t="s">
        <v>225</v>
      </c>
      <c r="J5" s="1634" t="s">
        <v>226</v>
      </c>
      <c r="K5" s="1634" t="s">
        <v>527</v>
      </c>
      <c r="L5" s="1634" t="s">
        <v>776</v>
      </c>
      <c r="M5" s="1634" t="s">
        <v>419</v>
      </c>
      <c r="N5" s="1634" t="s">
        <v>491</v>
      </c>
      <c r="O5" s="1634" t="s">
        <v>529</v>
      </c>
      <c r="P5" s="1634" t="s">
        <v>224</v>
      </c>
      <c r="Q5" s="1634" t="s">
        <v>59</v>
      </c>
      <c r="R5" s="1660" t="s">
        <v>227</v>
      </c>
      <c r="S5" s="1663" t="s">
        <v>230</v>
      </c>
      <c r="T5" s="1681" t="s">
        <v>231</v>
      </c>
      <c r="U5" s="1678" t="s">
        <v>232</v>
      </c>
      <c r="V5" s="1672" t="s">
        <v>417</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321</v>
      </c>
      <c r="AK5" s="1657" t="s">
        <v>322</v>
      </c>
      <c r="AL5" s="1628" t="s">
        <v>323</v>
      </c>
      <c r="AM5" s="1628" t="s">
        <v>472</v>
      </c>
      <c r="AN5" s="1628" t="s">
        <v>324</v>
      </c>
      <c r="AO5" s="1628" t="s">
        <v>325</v>
      </c>
      <c r="AP5" s="1628" t="s">
        <v>386</v>
      </c>
      <c r="AQ5" s="1628" t="s">
        <v>245</v>
      </c>
      <c r="AR5" s="1628" t="s">
        <v>246</v>
      </c>
      <c r="AS5" s="1628" t="s">
        <v>502</v>
      </c>
      <c r="AT5" s="1628" t="s">
        <v>375</v>
      </c>
      <c r="AU5" s="1628" t="s">
        <v>376</v>
      </c>
      <c r="AV5" s="1628" t="s">
        <v>435</v>
      </c>
      <c r="AW5" s="1628" t="s">
        <v>1111</v>
      </c>
      <c r="AX5" s="1628" t="s">
        <v>418</v>
      </c>
      <c r="AY5" s="1628" t="s">
        <v>999</v>
      </c>
      <c r="AZ5" s="1628" t="s">
        <v>1000</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0</v>
      </c>
      <c r="Y10" s="374">
        <f t="shared" ref="Y10:Y13" si="0">SUM(W10:X10)</f>
        <v>17</v>
      </c>
      <c r="Z10" s="375" t="str">
        <f>IF(ISNUMBER(Datos!CC10),Datos!CC10," - ")</f>
        <v xml:space="preserve"> - </v>
      </c>
      <c r="AA10" s="372">
        <f>IF(ISNUMBER(Datos!L10),Datos!L10,"-")</f>
        <v>36</v>
      </c>
      <c r="AB10" s="374">
        <f>IF(ISNUMBER(Datos!R10),Datos!R10," - ")</f>
        <v>10</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0.6071428571428571</v>
      </c>
      <c r="AM10" s="284">
        <f>IF(ISNUMBER(((NºAsuntos!I10/NºAsuntos!G10)*11)/factor_trimestre),((NºAsuntos!I10/NºAsuntos!G10)*11)/factor_trimestre," - ")</f>
        <v>6.3529411764705879</v>
      </c>
      <c r="AN10" s="267">
        <f>IF(ISNUMBER('Resol  Asuntos'!D10/NºAsuntos!G10),'Resol  Asuntos'!D10/NºAsuntos!G10," - ")</f>
        <v>0.47058823529411764</v>
      </c>
      <c r="AO10" s="268">
        <f>IF(ISNUMBER((NºAsuntos!C10+NºAsuntos!E10)/NºAsuntos!G10),(NºAsuntos!C10+NºAsuntos!E10)/NºAsuntos!G10," - ")</f>
        <v>3.1176470588235294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320</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135</v>
      </c>
      <c r="Y12" s="374">
        <f t="shared" si="0"/>
        <v>135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345</v>
      </c>
      <c r="AJ12" s="243" t="str">
        <f>IF(ISNUMBER(Datos!BW12),Datos!BW12," - ")</f>
        <v xml:space="preserve"> - </v>
      </c>
      <c r="AK12" s="242" t="str">
        <f>IF(ISNUMBER(Datos!BX12),Datos!BX12," - ")</f>
        <v xml:space="preserve"> - </v>
      </c>
      <c r="AL12" s="266">
        <f>IF(ISNUMBER(NºAsuntos!G12/NºAsuntos!E12),NºAsuntos!G12/NºAsuntos!E12," - ")</f>
        <v>0.97649363369245834</v>
      </c>
      <c r="AM12" s="284">
        <f>IF(ISNUMBER(((NºAsuntos!I12/NºAsuntos!G12)*11)/factor_trimestre),((NºAsuntos!I12/NºAsuntos!G12)*11)/factor_trimestre," - ")</f>
        <v>5.7291875626880646</v>
      </c>
      <c r="AN12" s="267">
        <f>IF(ISNUMBER('Resol  Asuntos'!D12/NºAsuntos!G12),'Resol  Asuntos'!D12/NºAsuntos!G12," - ")</f>
        <v>0.34603811434302911</v>
      </c>
      <c r="AO12" s="268">
        <f>IF(ISNUMBER((NºAsuntos!C12+NºAsuntos!E12)/NºAsuntos!G12),(NºAsuntos!C12+NºAsuntos!E12)/NºAsuntos!G12," - ")</f>
        <v>2.9899699097291874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25</v>
      </c>
      <c r="G14" s="1163">
        <f t="shared" si="5"/>
        <v>25</v>
      </c>
      <c r="H14" s="1162">
        <f t="shared" si="5"/>
        <v>0</v>
      </c>
      <c r="I14" s="1164">
        <f t="shared" si="5"/>
        <v>0</v>
      </c>
      <c r="J14" s="1164">
        <f t="shared" si="5"/>
        <v>0</v>
      </c>
      <c r="K14" s="1164">
        <f t="shared" si="5"/>
        <v>0</v>
      </c>
      <c r="L14" s="1164">
        <f t="shared" si="5"/>
        <v>311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135</v>
      </c>
      <c r="Y14" s="1165">
        <f t="shared" si="6"/>
        <v>152</v>
      </c>
      <c r="Z14" s="1165">
        <f t="shared" si="6"/>
        <v>0</v>
      </c>
      <c r="AA14" s="1165">
        <f t="shared" si="6"/>
        <v>36</v>
      </c>
      <c r="AB14" s="1165">
        <f t="shared" si="6"/>
        <v>3842</v>
      </c>
      <c r="AC14" s="1165">
        <f t="shared" si="6"/>
        <v>46</v>
      </c>
      <c r="AD14" s="1165">
        <f t="shared" si="6"/>
        <v>0</v>
      </c>
      <c r="AE14" s="1169">
        <f t="shared" si="6"/>
        <v>0</v>
      </c>
      <c r="AF14" s="1162">
        <f t="shared" si="6"/>
        <v>0</v>
      </c>
      <c r="AG14" s="1170">
        <f t="shared" si="6"/>
        <v>0</v>
      </c>
      <c r="AH14" s="1167">
        <f t="shared" si="6"/>
        <v>0</v>
      </c>
      <c r="AI14" s="1162">
        <f t="shared" si="6"/>
        <v>353</v>
      </c>
      <c r="AJ14" s="1164">
        <f t="shared" si="6"/>
        <v>0</v>
      </c>
      <c r="AK14" s="1167">
        <f>SUBTOTAL(9,AK9:AK13)</f>
        <v>0</v>
      </c>
      <c r="AL14" s="1171">
        <f>IF(ISNUMBER(NºAsuntos!G14/NºAsuntos!E14),NºAsuntos!G14/NºAsuntos!E14," - ")</f>
        <v>0.96663489037178263</v>
      </c>
      <c r="AM14" s="1171">
        <f>IF(ISNUMBER(((NºAsuntos!I14/NºAsuntos!G14)*11)/factor_trimestre),((NºAsuntos!I14/NºAsuntos!G14)*11)/factor_trimestre," - ")</f>
        <v>5.7396449704142016</v>
      </c>
      <c r="AN14" s="1172">
        <f>IF(ISNUMBER('Resol  Asuntos'!D14/NºAsuntos!G14),'Resol  Asuntos'!D14/NºAsuntos!G14," - ")</f>
        <v>0.34812623274161736</v>
      </c>
      <c r="AO14" s="1173">
        <f>IF(ISNUMBER((NºAsuntos!C14+NºAsuntos!E14)/NºAsuntos!G14),(NºAsuntos!C14+NºAsuntos!E14)/NºAsuntos!G14," - ")</f>
        <v>2.9921104536489151</v>
      </c>
      <c r="AP14" s="1174" t="str">
        <f t="shared" si="2"/>
        <v xml:space="preserve"> - </v>
      </c>
      <c r="AQ14" s="1174">
        <f>IF(ISNUMBER((H14-W14+K14)/(F14)),(H14-W14+K14)/(F14)," - ")</f>
        <v>-0.68</v>
      </c>
      <c r="AR14" s="1175">
        <f>IF(ISNUMBER((Datos!P14-Datos!Q14)/(Datos!R14-Datos!P14+Datos!Q14)),(Datos!P14-Datos!Q14)/(Datos!R14-Datos!P14+Datos!Q14)," - ")</f>
        <v>4.8008728859792689E-2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510</v>
      </c>
      <c r="C17" s="173" t="str">
        <f>Datos!A17</f>
        <v xml:space="preserve">Jdos. 1ª Instª. e Instr.                        </v>
      </c>
      <c r="D17" s="173"/>
      <c r="E17" s="1402">
        <f>IF(ISNUMBER(Datos!AQ17),Datos!AQ17," - ")</f>
        <v>6</v>
      </c>
      <c r="F17" s="239">
        <f>IF(ISNUMBER(AA17+W17-Datos!J17-K17),AA17+W17-Datos!J17-K17," - ")</f>
        <v>616</v>
      </c>
      <c r="G17" s="373">
        <f>IF(ISNUMBER(IF(D_I="SI",Datos!I17,Datos!I17+Datos!AC17)),IF(D_I="SI",Datos!I17,Datos!I17+Datos!AC17)," - ")</f>
        <v>615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1450</v>
      </c>
      <c r="X17" s="240">
        <f>IF(ISNUMBER(Datos!Q17),Datos!Q17," - ")</f>
        <v>55</v>
      </c>
      <c r="Y17" s="374">
        <f t="shared" ref="Y17:Y22" si="9">SUM(W17:X17)</f>
        <v>1505</v>
      </c>
      <c r="Z17" s="375" t="str">
        <f>IF(ISNUMBER(Datos!CC17),Datos!CC17," - ")</f>
        <v xml:space="preserve"> - </v>
      </c>
      <c r="AA17" s="372">
        <f>IF(ISNUMBER(IF(D_I="SI",Datos!L17,Datos!L17+Datos!AF17)),IF(D_I="SI",Datos!L17,Datos!L17+Datos!AF17)," - ")</f>
        <v>544</v>
      </c>
      <c r="AB17" s="374">
        <f>IF(ISNUMBER(Datos!R17),Datos!R17," - ")</f>
        <v>153</v>
      </c>
      <c r="AC17" s="374">
        <f t="shared" si="8"/>
        <v>697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152</v>
      </c>
      <c r="AJ17" s="245" t="str">
        <f>IF(ISNUMBER(Datos!BW17),Datos!BW17," - ")</f>
        <v xml:space="preserve"> - </v>
      </c>
      <c r="AK17" s="246" t="str">
        <f>IF(ISNUMBER(Datos!BX17),Datos!BX17," - ")</f>
        <v xml:space="preserve"> - </v>
      </c>
      <c r="AL17" s="266">
        <f>IF(ISNUMBER(NºAsuntos!G17/NºAsuntos!E17),NºAsuntos!G17/NºAsuntos!E17," - ")</f>
        <v>1.0522496371552976</v>
      </c>
      <c r="AM17" s="284">
        <f>IF(ISNUMBER(((NºAsuntos!I17/NºAsuntos!G17)*11)/factor_trimestre),((NºAsuntos!I17/NºAsuntos!G17)*11)/factor_trimestre," - ")</f>
        <v>1.1255172413793104</v>
      </c>
      <c r="AN17" s="267">
        <f>IF(ISNUMBER('Resol  Asuntos'!D17/NºAsuntos!G17),'Resol  Asuntos'!D17/NºAsuntos!G17," - ")</f>
        <v>0.10482758620689656</v>
      </c>
      <c r="AO17" s="268">
        <f>IF(ISNUMBER((NºAsuntos!C17+NºAsuntos!E17)/NºAsuntos!G17),(NºAsuntos!C17+NºAsuntos!E17)/NºAsuntos!G17," - ")</f>
        <v>1.3744827586206896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70</v>
      </c>
      <c r="X18" s="240">
        <f>IF(ISNUMBER(Datos!Q18),Datos!Q18," - ")</f>
        <v>1</v>
      </c>
      <c r="Y18" s="374">
        <f t="shared" si="9"/>
        <v>71</v>
      </c>
      <c r="Z18" s="375" t="str">
        <f>IF(ISNUMBER(Datos!CC18),Datos!CC18," - ")</f>
        <v xml:space="preserve"> - </v>
      </c>
      <c r="AA18" s="372">
        <f>IF(ISNUMBER(Datos!L18),Datos!L18,"-")</f>
        <v>59</v>
      </c>
      <c r="AB18" s="374">
        <f>IF(ISNUMBER(Datos!R18),Datos!R18," - ")</f>
        <v>3</v>
      </c>
      <c r="AC18" s="374">
        <f t="shared" si="8"/>
        <v>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0.8045977011494253</v>
      </c>
      <c r="AM18" s="284">
        <f>IF(ISNUMBER(((NºAsuntos!I18/NºAsuntos!G18)*11)/factor_trimestre),((NºAsuntos!I18/NºAsuntos!G18)*11)/factor_trimestre," - ")</f>
        <v>2.5285714285714289</v>
      </c>
      <c r="AN18" s="267">
        <f>IF(ISNUMBER('Resol  Asuntos'!D18/NºAsuntos!G18),'Resol  Asuntos'!D18/NºAsuntos!G18," - ")</f>
        <v>0.17142857142857143</v>
      </c>
      <c r="AO18" s="268">
        <f>IF(ISNUMBER((NºAsuntos!C18+NºAsuntos!E18)/NºAsuntos!G18),(NºAsuntos!C18+NºAsuntos!E18)/NºAsuntos!G18," - ")</f>
        <v>1.8428571428571427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0</v>
      </c>
      <c r="F21" s="239">
        <f>IF(ISNUMBER(Datos!L21+Datos!K21-Datos!J21-K21),Datos!L21+Datos!K21-Datos!J21-K21," - ")</f>
        <v>0</v>
      </c>
      <c r="G21" s="373">
        <f>IF(ISNUMBER(Datos!I21),Datos!I21," - ")</f>
        <v>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0</v>
      </c>
      <c r="X21" s="240">
        <f>IF(ISNUMBER(Datos!Q21),Datos!Q21," - ")</f>
        <v>0</v>
      </c>
      <c r="Y21" s="374">
        <f t="shared" si="9"/>
        <v>0</v>
      </c>
      <c r="Z21" s="375" t="str">
        <f>IF(ISNUMBER(Datos!CC21),Datos!CC21," - ")</f>
        <v xml:space="preserve"> - </v>
      </c>
      <c r="AA21" s="372">
        <f>IF(ISNUMBER(Datos!L21),Datos!L21,"-")</f>
        <v>0</v>
      </c>
      <c r="AB21" s="374">
        <f>IF(ISNUMBER(Datos!R21),Datos!R21," - ")</f>
        <v>2</v>
      </c>
      <c r="AC21" s="374">
        <f t="shared" si="8"/>
        <v>2</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0</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616</v>
      </c>
      <c r="G23" s="1163">
        <f>SUBTOTAL(9,G16:G22)</f>
        <v>657</v>
      </c>
      <c r="H23" s="1162">
        <f t="shared" ref="H23:O23" si="13">SUBTOTAL(9,H15:H22)</f>
        <v>0</v>
      </c>
      <c r="I23" s="1164">
        <f t="shared" si="13"/>
        <v>0</v>
      </c>
      <c r="J23" s="1164">
        <f t="shared" si="13"/>
        <v>0</v>
      </c>
      <c r="K23" s="1164">
        <f t="shared" si="13"/>
        <v>0</v>
      </c>
      <c r="L23" s="1164">
        <f t="shared" si="13"/>
        <v>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1520</v>
      </c>
      <c r="X23" s="1164">
        <f t="shared" si="14"/>
        <v>56</v>
      </c>
      <c r="Y23" s="1165">
        <f t="shared" si="14"/>
        <v>1576</v>
      </c>
      <c r="Z23" s="1165">
        <f t="shared" si="14"/>
        <v>0</v>
      </c>
      <c r="AA23" s="1165">
        <f t="shared" si="14"/>
        <v>603</v>
      </c>
      <c r="AB23" s="1165">
        <f t="shared" si="14"/>
        <v>158</v>
      </c>
      <c r="AC23" s="1165">
        <f t="shared" si="14"/>
        <v>761</v>
      </c>
      <c r="AD23" s="1165">
        <f t="shared" si="14"/>
        <v>0</v>
      </c>
      <c r="AE23" s="1169">
        <f t="shared" si="14"/>
        <v>0</v>
      </c>
      <c r="AF23" s="1162">
        <f t="shared" si="14"/>
        <v>0</v>
      </c>
      <c r="AG23" s="1170">
        <f t="shared" si="14"/>
        <v>0</v>
      </c>
      <c r="AH23" s="1167">
        <f t="shared" si="14"/>
        <v>0</v>
      </c>
      <c r="AI23" s="1162">
        <f t="shared" si="14"/>
        <v>164</v>
      </c>
      <c r="AJ23" s="1164">
        <f t="shared" si="14"/>
        <v>0</v>
      </c>
      <c r="AK23" s="1167">
        <f t="shared" si="14"/>
        <v>0</v>
      </c>
      <c r="AL23" s="1171">
        <f>IF(ISNUMBER(NºAsuntos!G23/NºAsuntos!E23),NºAsuntos!G23/NºAsuntos!E23," - ")</f>
        <v>1.0375426621160408</v>
      </c>
      <c r="AM23" s="1171">
        <f>IF(ISNUMBER(((NºAsuntos!I23/NºAsuntos!G23)*11)/factor_trimestre),((NºAsuntos!I23/NºAsuntos!G23)*11)/factor_trimestre," - ")</f>
        <v>1.1901315789473685</v>
      </c>
      <c r="AN23" s="1172">
        <f>IF(ISNUMBER('Resol  Asuntos'!D23/NºAsuntos!G23),'Resol  Asuntos'!D23/NºAsuntos!G23," - ")</f>
        <v>0.10789473684210527</v>
      </c>
      <c r="AO23" s="1173">
        <f>IF(ISNUMBER((NºAsuntos!C23+NºAsuntos!E23)/NºAsuntos!G23),(NºAsuntos!C23+NºAsuntos!E23)/NºAsuntos!G23," - ")</f>
        <v>1.3960526315789474</v>
      </c>
      <c r="AP23" s="1174" t="str">
        <f t="shared" si="2"/>
        <v xml:space="preserve"> - </v>
      </c>
      <c r="AQ23" s="1174">
        <f>IF(ISNUMBER((H23-W23+K23)/(F23)),(H23-W23+K23)/(F23)," - ")</f>
        <v>-2.4675324675324677</v>
      </c>
      <c r="AR23" s="1175">
        <f>IF(ISNUMBER((Datos!P23-Datos!Q23)/(Datos!R23-Datos!P23+Datos!Q23)),(Datos!P23-Datos!Q23)/(Datos!R23-Datos!P23+Datos!Q23)," - ")</f>
        <v>6.369426751592357E-3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641</v>
      </c>
      <c r="G31" s="1118">
        <f t="shared" si="20"/>
        <v>682</v>
      </c>
      <c r="H31" s="1117">
        <f t="shared" si="20"/>
        <v>0</v>
      </c>
      <c r="I31" s="1119">
        <f t="shared" si="20"/>
        <v>0</v>
      </c>
      <c r="J31" s="1119">
        <f t="shared" si="20"/>
        <v>0</v>
      </c>
      <c r="K31" s="1180">
        <f t="shared" si="20"/>
        <v>0</v>
      </c>
      <c r="L31" s="1119">
        <f t="shared" si="20"/>
        <v>368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1537</v>
      </c>
      <c r="X31" s="1118">
        <f t="shared" si="21"/>
        <v>191</v>
      </c>
      <c r="Y31" s="1125">
        <f t="shared" si="21"/>
        <v>1728</v>
      </c>
      <c r="Z31" s="1125">
        <f t="shared" si="21"/>
        <v>0</v>
      </c>
      <c r="AA31" s="1125">
        <f t="shared" si="21"/>
        <v>639</v>
      </c>
      <c r="AB31" s="1125">
        <f t="shared" si="21"/>
        <v>4000</v>
      </c>
      <c r="AC31" s="1125">
        <f t="shared" si="21"/>
        <v>807</v>
      </c>
      <c r="AD31" s="1125">
        <f t="shared" si="21"/>
        <v>0</v>
      </c>
      <c r="AE31" s="1127">
        <f t="shared" si="21"/>
        <v>0</v>
      </c>
      <c r="AF31" s="1128">
        <f t="shared" si="21"/>
        <v>0</v>
      </c>
      <c r="AG31" s="1129">
        <f t="shared" si="21"/>
        <v>0</v>
      </c>
      <c r="AH31" s="1127">
        <f t="shared" si="21"/>
        <v>0</v>
      </c>
      <c r="AI31" s="1117">
        <f t="shared" si="21"/>
        <v>517</v>
      </c>
      <c r="AJ31" s="1117">
        <f t="shared" si="21"/>
        <v>0</v>
      </c>
      <c r="AK31" s="1127">
        <f t="shared" si="21"/>
        <v>0</v>
      </c>
      <c r="AL31" s="1183">
        <f>IF(ISNUMBER(NºAsuntos!G31/NºAsuntos!E31),NºAsuntos!G31/NºAsuntos!E31," - ")</f>
        <v>1.0079554494828957</v>
      </c>
      <c r="AM31" s="1184">
        <f>IF(ISNUMBER(((NºAsuntos!I31/NºAsuntos!G31)*11)/factor_trimestre),((NºAsuntos!I31/NºAsuntos!G31)*11)/factor_trimestre," - ")</f>
        <v>3.0106550907655887</v>
      </c>
      <c r="AN31" s="1184">
        <f>IF(ISNUMBER('Resol  Asuntos'!D31/NºAsuntos!G31),'Resol  Asuntos'!D31/NºAsuntos!G31," - ")</f>
        <v>0.20402525651144435</v>
      </c>
      <c r="AO31" s="1185">
        <f>IF(ISNUMBER((NºAsuntos!C31+NºAsuntos!E31)/NºAsuntos!G31),(NºAsuntos!C31+NºAsuntos!E31)/NºAsuntos!G31," - ")</f>
        <v>2.0347277032359905</v>
      </c>
      <c r="AP31" s="1186" t="str">
        <f t="shared" si="2"/>
        <v xml:space="preserve"> - </v>
      </c>
      <c r="AQ31" s="1187">
        <f>IF(OR(ISNUMBER(FIND("01",Criterios!A8,1)),ISNUMBER(FIND("02",Criterios!A8,1)),ISNUMBER(FIND("03",Criterios!A8,1)),ISNUMBER(FIND("04",Criterios!A8,1))),(I31-W31+K31)/(F31-K31),(H31-W31+K31)/(F31-K31))</f>
        <v>-2.3978159126365055</v>
      </c>
      <c r="AR31" s="1188">
        <f>IF(ISNUMBER((Datos!P31-Datos!Q31)/(Datos!R31-Datos!P31+Datos!Q31)),(Datos!P31-Datos!Q31)/(Datos!R31-Datos!P31+Datos!Q31)," - ")</f>
        <v>4.6298718284070103E-2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170.5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2.5131234497501729</v>
      </c>
      <c r="F33" s="276">
        <f>IF(ISNUMBER(STDEV(F8:F30)),STDEV(F8:F30),"-")</f>
        <v>295.90901111176532</v>
      </c>
      <c r="G33" s="277">
        <f>IF(ISNUMBER(STDEV(G8:G30)),STDEV(G8:G30),"-")</f>
        <v>287.9300510292635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680.04133277743802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147.92180742240512</v>
      </c>
      <c r="AJ33" s="276">
        <f t="shared" si="25"/>
        <v>0</v>
      </c>
      <c r="AK33" s="278">
        <f t="shared" si="25"/>
        <v>0</v>
      </c>
      <c r="AL33" s="273">
        <f t="shared" si="25"/>
        <v>0.17141988533412819</v>
      </c>
      <c r="AM33" s="274">
        <f t="shared" si="25"/>
        <v>2.4322542955409392</v>
      </c>
      <c r="AN33" s="274">
        <f t="shared" si="25"/>
        <v>0.15136383964836012</v>
      </c>
      <c r="AO33" s="275">
        <f t="shared" si="25"/>
        <v>0.83726299885893651</v>
      </c>
      <c r="AP33" s="317" t="str">
        <f t="shared" si="25"/>
        <v>-</v>
      </c>
      <c r="AQ33" s="318">
        <f t="shared" si="25"/>
        <v>1.2639763293833295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qLl32s8IpU4zTJpmHju36Kcz6BOztrqX5mDsBSNjPTLjUZb7wpnn07+X/Sn+vLZ2kP9W+/bEqMZ6QZ6Q8HJ/w==" saltValue="KFxQbdthSp6Mp21aKiUR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CEUTA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353</v>
      </c>
      <c r="O5" s="175"/>
      <c r="P5" s="175"/>
      <c r="Q5" s="184" t="s">
        <v>354</v>
      </c>
      <c r="R5" s="184"/>
      <c r="S5" s="182"/>
      <c r="T5" s="182"/>
    </row>
    <row r="6" spans="2:20" ht="12.75" customHeight="1">
      <c r="B6" s="298"/>
      <c r="C6" s="1650"/>
      <c r="D6" s="1670"/>
      <c r="E6" s="1701"/>
      <c r="F6" s="1698"/>
      <c r="G6" s="1695"/>
      <c r="H6" s="1692"/>
      <c r="I6" s="1667"/>
      <c r="J6" s="1644"/>
      <c r="K6" s="1661"/>
      <c r="M6" s="1705" t="s">
        <v>369</v>
      </c>
      <c r="N6" s="1705" t="s">
        <v>350</v>
      </c>
      <c r="O6" s="1705" t="s">
        <v>351</v>
      </c>
      <c r="P6" s="1705" t="s">
        <v>352</v>
      </c>
      <c r="Q6" s="1705" t="s">
        <v>369</v>
      </c>
      <c r="R6" s="1705" t="s">
        <v>350</v>
      </c>
      <c r="S6" s="1705" t="s">
        <v>351</v>
      </c>
      <c r="T6" s="1705" t="s">
        <v>352</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-0.30555555555555558</v>
      </c>
      <c r="E10" s="393">
        <f>IF(ISNUMBER((Datos!J10-Datos!T10)/Datos!T10),(Datos!J10-Datos!T10)/Datos!T10," - ")</f>
        <v>1.5454545454545454</v>
      </c>
      <c r="F10" s="393">
        <f>IF(ISNUMBER((Datos!K10-Datos!U10)/Datos!U10),(Datos!K10-Datos!U10)/Datos!U10," - ")</f>
        <v>0.41666666666666669</v>
      </c>
      <c r="G10" s="394">
        <f>IF(ISNUMBER((Datos!L10-Datos!V10)/Datos!V10),(Datos!L10-Datos!V10)/Datos!V10," - ")</f>
        <v>2.8571428571428571E-2</v>
      </c>
      <c r="H10" s="244">
        <f>IF(ISNUMBER((Datos!M10-Datos!W10)/Datos!W10),(Datos!M10-Datos!W10)/Datos!W10," - ")</f>
        <v>0.33333333333333331</v>
      </c>
      <c r="I10" s="395">
        <f>IF(ISNUMBER((Tasas!C10-Datos!BE10)/Datos!BE10),(Tasas!C10-Datos!BE10)/Datos!BE10," - ")</f>
        <v>-0.27394957983193274</v>
      </c>
      <c r="J10" s="394">
        <f>IF(ISNUMBER((Tasas!D10-Datos!BF10)/Datos!BF10),(Tasas!D10-Datos!BF10)/Datos!BF10," - ")</f>
        <v>-5.8823529411764719E-2</v>
      </c>
      <c r="K10" s="396">
        <f>IF(ISNUMBER((Tasas!E10-Datos!BG10)/Datos!BG10),(Tasas!E10-Datos!BG10)/Datos!BG10," - ")</f>
        <v>-0.20400500625782225</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-5.9945504087193457E-2</v>
      </c>
      <c r="I12" s="395">
        <f>IF(ISNUMBER((Tasas!C12-Datos!BE12)/Datos!BE12),(Tasas!C12-Datos!BE12)/Datos!BE12," - ")</f>
        <v>-7.6895923822971016E-2</v>
      </c>
      <c r="J12" s="394">
        <f>IF(ISNUMBER((Tasas!D12-Datos!BF12)/Datos!BF12),(Tasas!D12-Datos!BF12)/Datos!BF12," - ")</f>
        <v>0.32110313992825934</v>
      </c>
      <c r="K12" s="396">
        <f>IF(ISNUMBER((Tasas!E12-Datos!BG12)/Datos!BG12),(Tasas!E12-Datos!BG12)/Datos!BG12," - ")</f>
        <v>-6.2844379690159468E-3</v>
      </c>
      <c r="M12" t="e">
        <f>IF(Monitorios="SI",Datos!CE12,0)</f>
        <v>#REF!</v>
      </c>
      <c r="N12" t="e">
        <f>IF(Monitorios="SI",Datos!CF12,0)</f>
        <v>#REF!</v>
      </c>
      <c r="O12" t="e">
        <f>IF(Monitorios="SI",Datos!CG12,0)</f>
        <v>#REF!</v>
      </c>
      <c r="P12" t="e">
        <f>IF(Monitorios="SI",Datos!CH12,0)</f>
        <v>#REF!</v>
      </c>
      <c r="Q12">
        <f>IF(J_V="SI",0,Datos!AG12)</f>
        <v>66</v>
      </c>
      <c r="R12">
        <f>IF(J_V="SI",0,Datos!AH12)</f>
        <v>54</v>
      </c>
      <c r="S12">
        <f>IF(J_V="SI",0,Datos!AI12)</f>
        <v>56</v>
      </c>
      <c r="T12">
        <f>IF(J_V="SI",0,Datos!AJ12)</f>
        <v>55</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-5.3619302949061663E-2</v>
      </c>
      <c r="I14" s="402">
        <f>IF(ISNUMBER((Tasas!C14-Datos!BE14)/Datos!BE14),(Tasas!C14-Datos!BE14)/Datos!BE14," - ")</f>
        <v>-8.0165726173746607E-2</v>
      </c>
      <c r="J14" s="400">
        <f>IF(ISNUMBER((Tasas!D14-Datos!BF14)/Datos!BF14),(Tasas!D14-Datos!BF14)/Datos!BF14," - ")</f>
        <v>0.31338533261610174</v>
      </c>
      <c r="K14" s="403">
        <f>IF(ISNUMBER((Tasas!E14-Datos!BG14)/Datos!BG14),(Tasas!E14-Datos!BG14)/Datos!BG14," - ")</f>
        <v>-9.5007816600944338E-3</v>
      </c>
      <c r="M14" t="e">
        <f>IF(Monitorios="SI",Datos!CE14,0)</f>
        <v>#REF!</v>
      </c>
      <c r="N14" t="e">
        <f>IF(Monitorios="SI",Datos!CF14,0)</f>
        <v>#REF!</v>
      </c>
      <c r="O14" t="e">
        <f>IF(Monitorios="SI",Datos!CG14,0)</f>
        <v>#REF!</v>
      </c>
      <c r="P14" t="e">
        <f>IF(Monitorios="SI",Datos!CH14,0)</f>
        <v>#REF!</v>
      </c>
      <c r="Q14">
        <f>IF(J_V="SI",0,Datos!AG14)</f>
        <v>66</v>
      </c>
      <c r="R14">
        <f>IF(J_V="SI",0,Datos!AH14)</f>
        <v>54</v>
      </c>
      <c r="S14">
        <f>IF(J_V="SI",0,Datos!AI14)</f>
        <v>56</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-0.20129870129870131</v>
      </c>
      <c r="E17" s="393">
        <f>IF(ISNUMBER(
   IF(D_I="SI",(Datos!J17-Datos!T17)/Datos!T17,(Datos!J17+Datos!AD17-(Datos!T17+Datos!AL17))/(Datos!T17+Datos!AL17))
     ),IF(D_I="SI",(Datos!J17-Datos!T17)/Datos!T17,(Datos!J17+Datos!AD17-(Datos!T17+Datos!AL17))/(Datos!T17+Datos!AL17))," - ")</f>
        <v>0.24144144144144145</v>
      </c>
      <c r="F17" s="393">
        <f>IF(ISNUMBER(
   IF(D_I="SI",(Datos!K17-Datos!U17)/Datos!U17,(Datos!K17+Datos!AE17-(Datos!U17+Datos!AM17))/(Datos!U17+Datos!AM17))
     ),IF(D_I="SI",(Datos!K17-Datos!U17)/Datos!U17,(Datos!K17+Datos!AE17-(Datos!U17+Datos!AM17))/(Datos!U17+Datos!AM17))," - ")</f>
        <v>0.19636963696369636</v>
      </c>
      <c r="G17" s="394">
        <f>IF(ISNUMBER(
   IF(D_I="SI",(Datos!L17-Datos!V17)/Datos!V17,(Datos!L17+Datos!AF17-(Datos!V17+Datos!AN17))/(Datos!V17+Datos!AN17))
     ),IF(D_I="SI",(Datos!L17-Datos!V17)/Datos!V17,(Datos!L17+Datos!AF17-(Datos!V17+Datos!AN17))/(Datos!V17+Datos!AN17))," - ")</f>
        <v>-0.18440779610194902</v>
      </c>
      <c r="H17" s="244">
        <f>IF(ISNUMBER((Datos!M17-Datos!W17)/Datos!W17),(Datos!M17-Datos!W17)/Datos!W17," - ")</f>
        <v>7.0422535211267609E-2</v>
      </c>
      <c r="I17" s="395">
        <f>IF(ISNUMBER((Tasas!C17-Datos!BE17)/Datos!BE17),(Tasas!C17-Datos!BE17)/Datos!BE17," - ")</f>
        <v>-0.31827741301762907</v>
      </c>
      <c r="J17" s="394">
        <f>IF(ISNUMBER((Tasas!D17-Datos!BF17)/Datos!BF17),(Tasas!D17-Datos!BF17)/Datos!BF17," - ")</f>
        <v>-0.10527440505099561</v>
      </c>
      <c r="K17" s="396">
        <f>IF(ISNUMBER((Tasas!E17-Datos!BG17)/Datos!BG17),(Tasas!E17-Datos!BG17)/Datos!BG17," - ")</f>
        <v>-0.11389728539985325</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-0.61818181818181817</v>
      </c>
      <c r="E18" s="393">
        <f>IF(ISNUMBER(
   IF(D_I="SI",(Datos!J18-Datos!T18)/Datos!T18,(Datos!J18+Datos!AD18-(Datos!T18+Datos!AL18))/(Datos!T18+Datos!AL18))
     ),IF(D_I="SI",(Datos!J18-Datos!T18)/Datos!T18,(Datos!J18+Datos!AD18-(Datos!T18+Datos!AL18))/(Datos!T18+Datos!AL18))," - ")</f>
        <v>-0.30952380952380953</v>
      </c>
      <c r="F18" s="393">
        <f>IF(ISNUMBER(
   IF(D_I="SI",(Datos!K18-Datos!U18)/Datos!U18,(Datos!K18+Datos!AE18-(Datos!U18+Datos!AM18))/(Datos!U18+Datos!AM18))
     ),IF(D_I="SI",(Datos!K18-Datos!U18)/Datos!U18,(Datos!K18+Datos!AE18-(Datos!U18+Datos!AM18))/(Datos!U18+Datos!AM18))," - ")</f>
        <v>-0.5757575757575758</v>
      </c>
      <c r="G18" s="394">
        <f>IF(ISNUMBER(
   IF(D_I="SI",(Datos!L18-Datos!V18)/Datos!V18,(Datos!L18+Datos!AF18-(Datos!V18+Datos!AN18))/(Datos!V18+Datos!AN18))
     ),IF(D_I="SI",(Datos!L18-Datos!V18)/Datos!V18,(Datos!L18+Datos!AF18-(Datos!V18+Datos!AN18))/(Datos!V18+Datos!AN18))," - ")</f>
        <v>-0.16901408450704225</v>
      </c>
      <c r="H18" s="244">
        <f>IF(ISNUMBER((Datos!M18-Datos!W18)/Datos!W18),(Datos!M18-Datos!W18)/Datos!W18," - ")</f>
        <v>-7.6923076923076927E-2</v>
      </c>
      <c r="I18" s="395">
        <f>IF(ISNUMBER((Tasas!C18-Datos!BE18)/Datos!BE18),(Tasas!C18-Datos!BE18)/Datos!BE18," - ")</f>
        <v>0.95875251509054327</v>
      </c>
      <c r="J18" s="394">
        <f>IF(ISNUMBER((Tasas!D18-Datos!BF18)/Datos!BF18),(Tasas!D18-Datos!BF18)/Datos!BF18," - ")</f>
        <v>1.1758241758241761</v>
      </c>
      <c r="K18" s="396">
        <f>IF(ISNUMBER((Tasas!E18-Datos!BG18)/Datos!BG18),(Tasas!E18-Datos!BG18)/Datos!BG18," - ")</f>
        <v>0.28843825665859546</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-0.25340909090909092</v>
      </c>
      <c r="E23" s="399">
        <f>IF(ISNUMBER(
   IF(D_I="SI",(Datos!J23-Datos!T23)/Datos!T23,(Datos!J23+Datos!AD23-(Datos!T23+Datos!AL23))/(Datos!T23+Datos!AL23))
     ),IF(D_I="SI",(Datos!J23-Datos!T23)/Datos!T23,(Datos!J23+Datos!AD23-(Datos!T23+Datos!AL23))/(Datos!T23+Datos!AL23))," - ")</f>
        <v>0.18527508090614886</v>
      </c>
      <c r="F23" s="399">
        <f>IF(ISNUMBER(
   IF(D_I="SI",(Datos!K23-Datos!U23)/Datos!U23,(Datos!K23+Datos!AE23-(Datos!U23+Datos!AM23))/(Datos!U23+Datos!AM23))
     ),IF(D_I="SI",(Datos!K23-Datos!U23)/Datos!U23,(Datos!K23+Datos!AE23-(Datos!U23+Datos!AM23))/(Datos!U23+Datos!AM23))," - ")</f>
        <v>0.10384894698620188</v>
      </c>
      <c r="G23" s="400">
        <f>IF(ISNUMBER(
   IF(D_I="SI",(Datos!L23-Datos!V23)/Datos!V23,(Datos!L23+Datos!AF23-(Datos!V23+Datos!AN23))/(Datos!V23+Datos!AN23))
     ),IF(D_I="SI",(Datos!L23-Datos!V23)/Datos!V23,(Datos!L23+Datos!AF23-(Datos!V23+Datos!AN23))/(Datos!V23+Datos!AN23))," - ")</f>
        <v>-0.18292682926829268</v>
      </c>
      <c r="H23" s="401">
        <f>IF(ISNUMBER((Datos!M23-Datos!W23)/Datos!W23),(Datos!M23-Datos!W23)/Datos!W23," - ")</f>
        <v>5.8064516129032261E-2</v>
      </c>
      <c r="I23" s="402">
        <f>IF(ISNUMBER((Tasas!C23-Datos!BE23)/Datos!BE23),(Tasas!C23-Datos!BE23)/Datos!BE23," - ")</f>
        <v>-0.25979621309370987</v>
      </c>
      <c r="J23" s="400">
        <f>IF(ISNUMBER((Tasas!D23-Datos!BF23)/Datos!BF23),(Tasas!D23-Datos!BF23)/Datos!BF23," - ")</f>
        <v>-4.1477079796264832E-2</v>
      </c>
      <c r="K23" s="403">
        <f>IF(ISNUMBER((Tasas!E23-Datos!BG23)/Datos!BG23),(Tasas!E23-Datos!BG23)/Datos!BG23," - ")</f>
        <v>-9.1510173117102731E-2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1.0325047801147227E-2</v>
      </c>
      <c r="E31" s="409">
        <f>IF(ISNUMBER(
   IF(J_V="SI",(Datos!J31-Datos!T31)/Datos!T31,(Datos!J31+Datos!Z31-(Datos!T31+Datos!AH31))/(Datos!T31+Datos!AH31))
     ),IF(J_V="SI",(Datos!J31-Datos!T31)/Datos!T31,(Datos!J31+Datos!Z31-(Datos!T31+Datos!AH31))/(Datos!T31+Datos!AH31))," - ")</f>
        <v>0.11288180610889774</v>
      </c>
      <c r="F31" s="409">
        <f>IF(ISNUMBER(
   IF(J_V="SI",(Datos!K31-Datos!U31)/Datos!U31,(Datos!K31+Datos!AA31-(Datos!U31+Datos!AI31))/(Datos!U31+Datos!AI31))
     ),IF(J_V="SI",(Datos!K31-Datos!U31)/Datos!U31,(Datos!K31+Datos!AA31-(Datos!U31+Datos!AI31))/(Datos!U31+Datos!AI31))," - ")</f>
        <v>0.10655021834061135</v>
      </c>
      <c r="G31" s="410">
        <f>IF(ISNUMBER(
   IF(J_V="SI",(Datos!L31-Datos!V31)/Datos!V31,(Datos!L31+Datos!AB31-(Datos!V31+Datos!AJ31))/(Datos!V31+Datos!AJ31))
     ),IF(J_V="SI",(Datos!L31-Datos!V31)/Datos!V31,(Datos!L31+Datos!AB31-(Datos!V31+Datos!AJ31))/(Datos!V31+Datos!AJ31))," - ")</f>
        <v>-3.5646568069776258E-2</v>
      </c>
      <c r="H31" s="411">
        <f>IF(ISNUMBER((Datos!M31-Datos!W31)/Datos!W31),(Datos!M31-Datos!W31)/Datos!W31," - ")</f>
        <v>-2.0833333333333332E-2</v>
      </c>
      <c r="I31" s="408">
        <f>IF(ISNUMBER((Tasas!C31-Datos!BE31)/Datos!BE31),(Tasas!C31-Datos!BE31)/Datos!BE31," - ")</f>
        <v>-0.12850459387521204</v>
      </c>
      <c r="J31" s="409">
        <f>IF(ISNUMBER((Tasas!D31-Datos!BF31)/Datos!BF31),(Tasas!D31-Datos!BF31)/Datos!BF31," - ")</f>
        <v>0.17687112698037169</v>
      </c>
      <c r="K31" s="410">
        <f>IF(ISNUMBER((Tasas!E31-Datos!BG31)/Datos!BG31),(Tasas!E31-Datos!BG31)/Datos!BG31," - ")</f>
        <v>-4.4003602706110277E-2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0.18728100409274417</v>
      </c>
      <c r="E33" s="303">
        <f t="shared" si="1"/>
        <v>0.79283386019460578</v>
      </c>
      <c r="F33" s="303">
        <f t="shared" si="1"/>
        <v>0.42796973417597833</v>
      </c>
      <c r="G33" s="304">
        <f t="shared" si="1"/>
        <v>0.10390878302482985</v>
      </c>
      <c r="H33" s="310">
        <f t="shared" si="1"/>
        <v>0.1546333498904234</v>
      </c>
      <c r="I33" s="302">
        <f t="shared" si="1"/>
        <v>0.48476110490052376</v>
      </c>
      <c r="J33" s="303">
        <f t="shared" si="1"/>
        <v>0.48393102732141208</v>
      </c>
      <c r="K33" s="304">
        <f t="shared" si="1"/>
        <v>0.16921816848145124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iQy1q5O8ZAgmWtUhd8jPTeZUSKILDTbEZumE6ARUKpQgk0T1cUcEbjLJavndJUVvmKSWJ5oCV4D2/MqS++5ww==" saltValue="txGRSxCnJ4jPaTQgPfVx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